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\6. Phase I\"/>
    </mc:Choice>
  </mc:AlternateContent>
  <xr:revisionPtr revIDLastSave="0" documentId="8_{06BAD11F-854A-47D6-8BD1-9BFB8A4FFA0E}" xr6:coauthVersionLast="47" xr6:coauthVersionMax="47" xr10:uidLastSave="{00000000-0000-0000-0000-000000000000}"/>
  <bookViews>
    <workbookView xWindow="-120" yWindow="-120" windowWidth="29040" windowHeight="15720" xr2:uid="{65570F35-B3FE-4E02-AEFF-7847BFE3F04F}"/>
  </bookViews>
  <sheets>
    <sheet name="Phase I Schedules" sheetId="1" r:id="rId1"/>
    <sheet name="Phase II Schedules" sheetId="2" r:id="rId2"/>
  </sheets>
  <definedNames>
    <definedName name="__">#REF!</definedName>
    <definedName name="_713_PropertyTax">#REF!</definedName>
    <definedName name="hrspercont">'Phase II Schedules'!$B$39:$D$42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K29" i="2" l="1"/>
  <c r="HU29" i="2"/>
  <c r="GY36" i="2" l="1"/>
  <c r="GZ36" i="2" s="1"/>
  <c r="HA36" i="2" s="1"/>
  <c r="HB36" i="2" s="1"/>
  <c r="HC36" i="2" s="1"/>
  <c r="FZ35" i="2"/>
  <c r="GA35" i="2" s="1"/>
  <c r="GB35" i="2" s="1"/>
  <c r="FU35" i="2"/>
  <c r="FV35" i="2" s="1"/>
  <c r="FW35" i="2" s="1"/>
  <c r="FX35" i="2" s="1"/>
  <c r="GJ33" i="2"/>
  <c r="GK33" i="2" s="1"/>
  <c r="GL33" i="2" s="1"/>
  <c r="GM33" i="2" s="1"/>
  <c r="GN33" i="2" s="1"/>
  <c r="GO33" i="2" s="1"/>
  <c r="GP33" i="2" s="1"/>
  <c r="GQ33" i="2" s="1"/>
  <c r="HA32" i="2"/>
  <c r="AS32" i="2"/>
  <c r="AT32" i="2" s="1"/>
  <c r="AU32" i="2" s="1"/>
  <c r="AV32" i="2" s="1"/>
  <c r="AW32" i="2" s="1"/>
  <c r="AX32" i="2" s="1"/>
  <c r="AZ32" i="2" s="1"/>
  <c r="Y33" i="2"/>
  <c r="FL32" i="2" s="1"/>
  <c r="FM32" i="2" s="1"/>
  <c r="JG28" i="2"/>
  <c r="HQ28" i="2"/>
  <c r="GV28" i="2"/>
  <c r="GG28" i="2"/>
  <c r="FI28" i="2"/>
  <c r="EN28" i="2"/>
  <c r="DW28" i="2"/>
  <c r="DH28" i="2"/>
  <c r="CI28" i="2"/>
  <c r="BL28" i="2"/>
  <c r="AQ28" i="2"/>
  <c r="AS28" i="2" s="1"/>
  <c r="V28" i="2"/>
  <c r="J28" i="2"/>
  <c r="JG27" i="2"/>
  <c r="HQ27" i="2"/>
  <c r="GV27" i="2"/>
  <c r="GG27" i="2"/>
  <c r="FI27" i="2"/>
  <c r="EN27" i="2"/>
  <c r="DH27" i="2"/>
  <c r="CI27" i="2"/>
  <c r="BL27" i="2"/>
  <c r="AQ27" i="2"/>
  <c r="AS27" i="2" s="1"/>
  <c r="V27" i="2"/>
  <c r="J27" i="2"/>
  <c r="JG26" i="2"/>
  <c r="IW26" i="2"/>
  <c r="HQ26" i="2"/>
  <c r="GV26" i="2"/>
  <c r="GG26" i="2"/>
  <c r="FI26" i="2"/>
  <c r="EN26" i="2"/>
  <c r="DH26" i="2"/>
  <c r="CI26" i="2"/>
  <c r="BL26" i="2"/>
  <c r="AQ26" i="2"/>
  <c r="V26" i="2"/>
  <c r="O26" i="2"/>
  <c r="J26" i="2"/>
  <c r="JG25" i="2"/>
  <c r="HQ25" i="2"/>
  <c r="GV25" i="2"/>
  <c r="GG25" i="2"/>
  <c r="FM25" i="2"/>
  <c r="FI25" i="2"/>
  <c r="EX25" i="2"/>
  <c r="EN25" i="2"/>
  <c r="EA25" i="2"/>
  <c r="DH25" i="2"/>
  <c r="CI25" i="2"/>
  <c r="BS25" i="2"/>
  <c r="BL25" i="2"/>
  <c r="AZ25" i="2"/>
  <c r="AQ25" i="2"/>
  <c r="GB25" i="2" s="1"/>
  <c r="V25" i="2"/>
  <c r="O25" i="2"/>
  <c r="J25" i="2"/>
  <c r="JG24" i="2"/>
  <c r="HQ24" i="2"/>
  <c r="HA24" i="2"/>
  <c r="IT24" i="2" s="1"/>
  <c r="GV24" i="2"/>
  <c r="GG24" i="2"/>
  <c r="DW24" i="2" s="1"/>
  <c r="FI24" i="2"/>
  <c r="EN24" i="2"/>
  <c r="DH24" i="2"/>
  <c r="CI24" i="2"/>
  <c r="BL24" i="2"/>
  <c r="AQ24" i="2"/>
  <c r="V24" i="2"/>
  <c r="J24" i="2"/>
  <c r="JG23" i="2"/>
  <c r="IW23" i="2"/>
  <c r="HQ23" i="2"/>
  <c r="GV23" i="2"/>
  <c r="GG23" i="2"/>
  <c r="FI23" i="2"/>
  <c r="EN23" i="2"/>
  <c r="DH23" i="2"/>
  <c r="CI23" i="2"/>
  <c r="BL23" i="2"/>
  <c r="AQ23" i="2"/>
  <c r="AS23" i="2" s="1"/>
  <c r="V23" i="2"/>
  <c r="O23" i="2"/>
  <c r="J23" i="2"/>
  <c r="JG22" i="2"/>
  <c r="HQ22" i="2"/>
  <c r="GV22" i="2"/>
  <c r="GG22" i="2"/>
  <c r="DW22" i="2" s="1"/>
  <c r="FI22" i="2"/>
  <c r="EN22" i="2"/>
  <c r="DH22" i="2"/>
  <c r="CI22" i="2"/>
  <c r="BL22" i="2"/>
  <c r="AQ22" i="2"/>
  <c r="V22" i="2"/>
  <c r="J22" i="2"/>
  <c r="JG21" i="2"/>
  <c r="HQ21" i="2"/>
  <c r="GV21" i="2"/>
  <c r="GG21" i="2"/>
  <c r="FI21" i="2"/>
  <c r="EN21" i="2"/>
  <c r="DW21" i="2"/>
  <c r="DH21" i="2"/>
  <c r="CI21" i="2"/>
  <c r="BL21" i="2"/>
  <c r="AQ21" i="2"/>
  <c r="V21" i="2"/>
  <c r="J21" i="2"/>
  <c r="JG20" i="2"/>
  <c r="HQ20" i="2"/>
  <c r="GV20" i="2"/>
  <c r="GG20" i="2"/>
  <c r="FI20" i="2"/>
  <c r="EN20" i="2"/>
  <c r="DH20" i="2"/>
  <c r="CI20" i="2"/>
  <c r="BL20" i="2"/>
  <c r="AQ20" i="2"/>
  <c r="AS20" i="2" s="1"/>
  <c r="V20" i="2"/>
  <c r="O20" i="2"/>
  <c r="J20" i="2"/>
  <c r="JG19" i="2"/>
  <c r="HQ19" i="2"/>
  <c r="GV19" i="2"/>
  <c r="GG19" i="2"/>
  <c r="FI19" i="2"/>
  <c r="EN19" i="2"/>
  <c r="DH19" i="2"/>
  <c r="CI19" i="2"/>
  <c r="BL19" i="2"/>
  <c r="AQ19" i="2"/>
  <c r="AS19" i="2" s="1"/>
  <c r="V19" i="2"/>
  <c r="O19" i="2"/>
  <c r="J19" i="2"/>
  <c r="JG18" i="2"/>
  <c r="HQ18" i="2"/>
  <c r="GV18" i="2"/>
  <c r="GG18" i="2"/>
  <c r="FI18" i="2"/>
  <c r="EN18" i="2"/>
  <c r="DH18" i="2"/>
  <c r="CI18" i="2"/>
  <c r="BL18" i="2"/>
  <c r="AQ18" i="2"/>
  <c r="AS18" i="2" s="1"/>
  <c r="V18" i="2"/>
  <c r="J18" i="2"/>
  <c r="JG17" i="2"/>
  <c r="IW17" i="2"/>
  <c r="HQ17" i="2"/>
  <c r="GV17" i="2"/>
  <c r="GG17" i="2"/>
  <c r="DW17" i="2" s="1"/>
  <c r="FI17" i="2"/>
  <c r="EN17" i="2"/>
  <c r="DH17" i="2"/>
  <c r="CI17" i="2"/>
  <c r="BL17" i="2"/>
  <c r="AQ17" i="2"/>
  <c r="AS17" i="2" s="1"/>
  <c r="V17" i="2"/>
  <c r="O17" i="2"/>
  <c r="J17" i="2"/>
  <c r="JG16" i="2"/>
  <c r="IW16" i="2"/>
  <c r="HQ16" i="2"/>
  <c r="GV16" i="2"/>
  <c r="GG16" i="2"/>
  <c r="FI16" i="2"/>
  <c r="EN16" i="2"/>
  <c r="DH16" i="2"/>
  <c r="CI16" i="2"/>
  <c r="BL16" i="2"/>
  <c r="AQ16" i="2"/>
  <c r="AS16" i="2" s="1"/>
  <c r="V16" i="2"/>
  <c r="O16" i="2"/>
  <c r="J16" i="2"/>
  <c r="JG15" i="2"/>
  <c r="HQ15" i="2"/>
  <c r="GV15" i="2"/>
  <c r="GG15" i="2"/>
  <c r="FI15" i="2"/>
  <c r="EN15" i="2"/>
  <c r="DH15" i="2"/>
  <c r="CI15" i="2"/>
  <c r="BL15" i="2"/>
  <c r="AQ15" i="2"/>
  <c r="AS15" i="2" s="1"/>
  <c r="V15" i="2"/>
  <c r="J15" i="2"/>
  <c r="JG14" i="2"/>
  <c r="IW14" i="2"/>
  <c r="HQ14" i="2"/>
  <c r="GV14" i="2"/>
  <c r="GG14" i="2"/>
  <c r="DW14" i="2" s="1"/>
  <c r="FI14" i="2"/>
  <c r="EN14" i="2"/>
  <c r="DH14" i="2"/>
  <c r="CI14" i="2"/>
  <c r="BL14" i="2"/>
  <c r="AQ14" i="2"/>
  <c r="V14" i="2"/>
  <c r="J14" i="2"/>
  <c r="JG13" i="2"/>
  <c r="HQ13" i="2"/>
  <c r="GV13" i="2"/>
  <c r="GG13" i="2"/>
  <c r="DW13" i="2" s="1"/>
  <c r="FI13" i="2"/>
  <c r="EN13" i="2"/>
  <c r="DH13" i="2"/>
  <c r="CI13" i="2"/>
  <c r="BL13" i="2"/>
  <c r="AQ13" i="2"/>
  <c r="V13" i="2"/>
  <c r="J13" i="2"/>
  <c r="JG12" i="2"/>
  <c r="HQ12" i="2"/>
  <c r="GV12" i="2"/>
  <c r="GG12" i="2"/>
  <c r="DW12" i="2" s="1"/>
  <c r="FI12" i="2"/>
  <c r="EN12" i="2"/>
  <c r="DH12" i="2"/>
  <c r="CI12" i="2"/>
  <c r="BL12" i="2"/>
  <c r="AQ12" i="2"/>
  <c r="V12" i="2"/>
  <c r="O12" i="2"/>
  <c r="J12" i="2"/>
  <c r="JG11" i="2"/>
  <c r="HQ11" i="2"/>
  <c r="GV11" i="2"/>
  <c r="GG11" i="2"/>
  <c r="DW11" i="2" s="1"/>
  <c r="FI11" i="2"/>
  <c r="EN11" i="2"/>
  <c r="DH11" i="2"/>
  <c r="CI11" i="2"/>
  <c r="BL11" i="2"/>
  <c r="AQ11" i="2"/>
  <c r="AS11" i="2" s="1"/>
  <c r="V11" i="2"/>
  <c r="J11" i="2"/>
  <c r="JG10" i="2"/>
  <c r="HQ10" i="2"/>
  <c r="GV10" i="2"/>
  <c r="GG10" i="2"/>
  <c r="DW10" i="2" s="1"/>
  <c r="FI10" i="2"/>
  <c r="EN10" i="2"/>
  <c r="DH10" i="2"/>
  <c r="CI10" i="2"/>
  <c r="BL10" i="2"/>
  <c r="AQ10" i="2"/>
  <c r="V10" i="2"/>
  <c r="J10" i="2"/>
  <c r="JG9" i="2"/>
  <c r="HQ9" i="2"/>
  <c r="GV9" i="2"/>
  <c r="GG9" i="2"/>
  <c r="FI9" i="2"/>
  <c r="EN9" i="2"/>
  <c r="DH9" i="2"/>
  <c r="CI9" i="2"/>
  <c r="BL9" i="2"/>
  <c r="AQ9" i="2"/>
  <c r="AS9" i="2" s="1"/>
  <c r="V9" i="2"/>
  <c r="O9" i="2"/>
  <c r="J9" i="2"/>
  <c r="JG8" i="2"/>
  <c r="HQ8" i="2"/>
  <c r="GV8" i="2"/>
  <c r="GG8" i="2"/>
  <c r="FI8" i="2"/>
  <c r="EN8" i="2"/>
  <c r="DH8" i="2"/>
  <c r="CI8" i="2"/>
  <c r="BL8" i="2"/>
  <c r="AQ8" i="2"/>
  <c r="AS8" i="2" s="1"/>
  <c r="V8" i="2"/>
  <c r="J8" i="2"/>
  <c r="JG7" i="2"/>
  <c r="HQ7" i="2"/>
  <c r="GV7" i="2"/>
  <c r="GG7" i="2"/>
  <c r="DW7" i="2" s="1"/>
  <c r="FI7" i="2"/>
  <c r="EN7" i="2"/>
  <c r="DH7" i="2"/>
  <c r="CI7" i="2"/>
  <c r="BL7" i="2"/>
  <c r="AQ7" i="2"/>
  <c r="V7" i="2"/>
  <c r="J7" i="2"/>
  <c r="JG6" i="2"/>
  <c r="HQ6" i="2"/>
  <c r="GV6" i="2"/>
  <c r="GG6" i="2"/>
  <c r="DW6" i="2" s="1"/>
  <c r="FI6" i="2"/>
  <c r="EN6" i="2"/>
  <c r="DH6" i="2"/>
  <c r="CI6" i="2"/>
  <c r="BL6" i="2"/>
  <c r="BF6" i="2"/>
  <c r="AQ6" i="2"/>
  <c r="AS6" i="2"/>
  <c r="V6" i="2"/>
  <c r="J6" i="2"/>
  <c r="JG5" i="2"/>
  <c r="JF5" i="2"/>
  <c r="JF6" i="2" s="1"/>
  <c r="JF7" i="2" s="1"/>
  <c r="JF8" i="2" s="1"/>
  <c r="JF9" i="2" s="1"/>
  <c r="JF10" i="2" s="1"/>
  <c r="JF11" i="2" s="1"/>
  <c r="JF12" i="2" s="1"/>
  <c r="JF13" i="2" s="1"/>
  <c r="JF14" i="2" s="1"/>
  <c r="JF15" i="2" s="1"/>
  <c r="JF16" i="2" s="1"/>
  <c r="JF17" i="2" s="1"/>
  <c r="JF18" i="2" s="1"/>
  <c r="JF19" i="2" s="1"/>
  <c r="JF20" i="2" s="1"/>
  <c r="JF21" i="2" s="1"/>
  <c r="JF22" i="2" s="1"/>
  <c r="JF23" i="2" s="1"/>
  <c r="JF24" i="2" s="1"/>
  <c r="JF25" i="2" s="1"/>
  <c r="JF26" i="2" s="1"/>
  <c r="JF27" i="2" s="1"/>
  <c r="JF28" i="2" s="1"/>
  <c r="JF29" i="2" s="1"/>
  <c r="IO5" i="2"/>
  <c r="IO6" i="2" s="1"/>
  <c r="IO7" i="2" s="1"/>
  <c r="IO8" i="2" s="1"/>
  <c r="IO9" i="2" s="1"/>
  <c r="IO10" i="2" s="1"/>
  <c r="IO11" i="2" s="1"/>
  <c r="IO12" i="2" s="1"/>
  <c r="IO13" i="2" s="1"/>
  <c r="IO14" i="2" s="1"/>
  <c r="IO15" i="2" s="1"/>
  <c r="IO16" i="2" s="1"/>
  <c r="IO17" i="2" s="1"/>
  <c r="IO18" i="2" s="1"/>
  <c r="IO19" i="2" s="1"/>
  <c r="IO20" i="2" s="1"/>
  <c r="IO21" i="2" s="1"/>
  <c r="IO22" i="2" s="1"/>
  <c r="IO23" i="2" s="1"/>
  <c r="IO24" i="2" s="1"/>
  <c r="IO25" i="2" s="1"/>
  <c r="IO26" i="2" s="1"/>
  <c r="IO27" i="2" s="1"/>
  <c r="IO28" i="2" s="1"/>
  <c r="IO29" i="2" s="1"/>
  <c r="HQ5" i="2"/>
  <c r="HP5" i="2"/>
  <c r="HP6" i="2" s="1"/>
  <c r="HP7" i="2" s="1"/>
  <c r="HP8" i="2" s="1"/>
  <c r="HP9" i="2" s="1"/>
  <c r="HP10" i="2" s="1"/>
  <c r="HP11" i="2" s="1"/>
  <c r="HP12" i="2" s="1"/>
  <c r="HP13" i="2" s="1"/>
  <c r="HP14" i="2" s="1"/>
  <c r="HP15" i="2" s="1"/>
  <c r="HP16" i="2" s="1"/>
  <c r="HP17" i="2" s="1"/>
  <c r="HP18" i="2" s="1"/>
  <c r="HP19" i="2" s="1"/>
  <c r="HP20" i="2" s="1"/>
  <c r="HP21" i="2" s="1"/>
  <c r="HP22" i="2" s="1"/>
  <c r="HP23" i="2" s="1"/>
  <c r="HP24" i="2" s="1"/>
  <c r="HP25" i="2" s="1"/>
  <c r="HP26" i="2" s="1"/>
  <c r="HP27" i="2" s="1"/>
  <c r="HP28" i="2" s="1"/>
  <c r="HP29" i="2" s="1"/>
  <c r="GV5" i="2"/>
  <c r="GU5" i="2"/>
  <c r="GU6" i="2" s="1"/>
  <c r="GU7" i="2" s="1"/>
  <c r="GU8" i="2" s="1"/>
  <c r="GU9" i="2" s="1"/>
  <c r="GU10" i="2" s="1"/>
  <c r="GU11" i="2" s="1"/>
  <c r="GU12" i="2" s="1"/>
  <c r="GU13" i="2" s="1"/>
  <c r="GU14" i="2" s="1"/>
  <c r="GU15" i="2" s="1"/>
  <c r="GU16" i="2" s="1"/>
  <c r="GU17" i="2" s="1"/>
  <c r="GU18" i="2" s="1"/>
  <c r="GU19" i="2" s="1"/>
  <c r="GU20" i="2" s="1"/>
  <c r="GU21" i="2" s="1"/>
  <c r="GU22" i="2" s="1"/>
  <c r="GU23" i="2" s="1"/>
  <c r="GU24" i="2" s="1"/>
  <c r="GU25" i="2" s="1"/>
  <c r="GU26" i="2" s="1"/>
  <c r="GU27" i="2" s="1"/>
  <c r="GU28" i="2" s="1"/>
  <c r="GU29" i="2" s="1"/>
  <c r="GG5" i="2"/>
  <c r="GF5" i="2"/>
  <c r="GF6" i="2" s="1"/>
  <c r="GF7" i="2" s="1"/>
  <c r="GF8" i="2" s="1"/>
  <c r="GF9" i="2" s="1"/>
  <c r="GF10" i="2" s="1"/>
  <c r="GF11" i="2" s="1"/>
  <c r="GF12" i="2" s="1"/>
  <c r="GF13" i="2" s="1"/>
  <c r="GF14" i="2" s="1"/>
  <c r="GF15" i="2" s="1"/>
  <c r="GF16" i="2" s="1"/>
  <c r="GF17" i="2" s="1"/>
  <c r="GF18" i="2" s="1"/>
  <c r="GF19" i="2" s="1"/>
  <c r="GF20" i="2" s="1"/>
  <c r="GF21" i="2" s="1"/>
  <c r="GF22" i="2" s="1"/>
  <c r="GF23" i="2" s="1"/>
  <c r="GF24" i="2" s="1"/>
  <c r="GF25" i="2" s="1"/>
  <c r="GF26" i="2" s="1"/>
  <c r="GF27" i="2" s="1"/>
  <c r="GF28" i="2" s="1"/>
  <c r="GF29" i="2" s="1"/>
  <c r="FQ5" i="2"/>
  <c r="FQ6" i="2" s="1"/>
  <c r="FQ7" i="2" s="1"/>
  <c r="FQ8" i="2" s="1"/>
  <c r="FQ9" i="2" s="1"/>
  <c r="FQ10" i="2" s="1"/>
  <c r="FQ11" i="2" s="1"/>
  <c r="FQ12" i="2" s="1"/>
  <c r="FQ13" i="2" s="1"/>
  <c r="FQ14" i="2" s="1"/>
  <c r="FQ15" i="2" s="1"/>
  <c r="FQ16" i="2" s="1"/>
  <c r="FQ17" i="2" s="1"/>
  <c r="FQ18" i="2" s="1"/>
  <c r="FQ19" i="2" s="1"/>
  <c r="FQ20" i="2" s="1"/>
  <c r="FQ21" i="2" s="1"/>
  <c r="FQ22" i="2" s="1"/>
  <c r="FQ23" i="2" s="1"/>
  <c r="FQ24" i="2" s="1"/>
  <c r="FQ25" i="2" s="1"/>
  <c r="FQ26" i="2" s="1"/>
  <c r="FQ27" i="2" s="1"/>
  <c r="FQ28" i="2" s="1"/>
  <c r="FQ29" i="2" s="1"/>
  <c r="FI5" i="2"/>
  <c r="FH5" i="2"/>
  <c r="FH6" i="2" s="1"/>
  <c r="FH7" i="2" s="1"/>
  <c r="FH8" i="2" s="1"/>
  <c r="FH9" i="2" s="1"/>
  <c r="FH10" i="2" s="1"/>
  <c r="FH11" i="2" s="1"/>
  <c r="FH12" i="2" s="1"/>
  <c r="FH13" i="2" s="1"/>
  <c r="FH14" i="2" s="1"/>
  <c r="FH15" i="2" s="1"/>
  <c r="FH16" i="2" s="1"/>
  <c r="FH17" i="2" s="1"/>
  <c r="FH18" i="2" s="1"/>
  <c r="FH19" i="2" s="1"/>
  <c r="FH20" i="2" s="1"/>
  <c r="FH21" i="2" s="1"/>
  <c r="FH22" i="2" s="1"/>
  <c r="FH23" i="2" s="1"/>
  <c r="FH24" i="2" s="1"/>
  <c r="FH25" i="2" s="1"/>
  <c r="FH26" i="2" s="1"/>
  <c r="FH27" i="2" s="1"/>
  <c r="FH28" i="2" s="1"/>
  <c r="FH29" i="2" s="1"/>
  <c r="EN5" i="2"/>
  <c r="EM5" i="2"/>
  <c r="EM6" i="2" s="1"/>
  <c r="EM7" i="2" s="1"/>
  <c r="EM8" i="2" s="1"/>
  <c r="EM9" i="2" s="1"/>
  <c r="EM10" i="2" s="1"/>
  <c r="EM11" i="2" s="1"/>
  <c r="EM12" i="2" s="1"/>
  <c r="EM13" i="2" s="1"/>
  <c r="EM14" i="2" s="1"/>
  <c r="EM15" i="2" s="1"/>
  <c r="EM16" i="2" s="1"/>
  <c r="EM17" i="2" s="1"/>
  <c r="EM18" i="2" s="1"/>
  <c r="EM19" i="2" s="1"/>
  <c r="EM20" i="2" s="1"/>
  <c r="EM21" i="2" s="1"/>
  <c r="EM22" i="2" s="1"/>
  <c r="EM23" i="2" s="1"/>
  <c r="EM24" i="2" s="1"/>
  <c r="EM25" i="2" s="1"/>
  <c r="EM26" i="2" s="1"/>
  <c r="EM27" i="2" s="1"/>
  <c r="EM28" i="2" s="1"/>
  <c r="EM29" i="2" s="1"/>
  <c r="DV5" i="2"/>
  <c r="DV6" i="2" s="1"/>
  <c r="DV7" i="2" s="1"/>
  <c r="DV8" i="2" s="1"/>
  <c r="DV9" i="2" s="1"/>
  <c r="DV10" i="2" s="1"/>
  <c r="DV11" i="2" s="1"/>
  <c r="DV12" i="2" s="1"/>
  <c r="DV13" i="2" s="1"/>
  <c r="DV14" i="2" s="1"/>
  <c r="DV15" i="2" s="1"/>
  <c r="DV16" i="2" s="1"/>
  <c r="DV17" i="2" s="1"/>
  <c r="DV18" i="2" s="1"/>
  <c r="DV19" i="2" s="1"/>
  <c r="DV20" i="2" s="1"/>
  <c r="DV21" i="2" s="1"/>
  <c r="DV22" i="2" s="1"/>
  <c r="DV23" i="2" s="1"/>
  <c r="DV24" i="2" s="1"/>
  <c r="DV25" i="2" s="1"/>
  <c r="DV26" i="2" s="1"/>
  <c r="DV27" i="2" s="1"/>
  <c r="DV28" i="2" s="1"/>
  <c r="DV29" i="2" s="1"/>
  <c r="DH5" i="2"/>
  <c r="DG5" i="2"/>
  <c r="DG6" i="2" s="1"/>
  <c r="DG7" i="2" s="1"/>
  <c r="DG8" i="2" s="1"/>
  <c r="DG9" i="2" s="1"/>
  <c r="DG10" i="2" s="1"/>
  <c r="DG11" i="2" s="1"/>
  <c r="DG12" i="2" s="1"/>
  <c r="DG13" i="2" s="1"/>
  <c r="DG14" i="2" s="1"/>
  <c r="DG15" i="2" s="1"/>
  <c r="DG16" i="2" s="1"/>
  <c r="DG17" i="2" s="1"/>
  <c r="DG18" i="2" s="1"/>
  <c r="DG19" i="2" s="1"/>
  <c r="DG20" i="2" s="1"/>
  <c r="DG21" i="2" s="1"/>
  <c r="DG22" i="2" s="1"/>
  <c r="DG23" i="2" s="1"/>
  <c r="DG24" i="2" s="1"/>
  <c r="DG25" i="2" s="1"/>
  <c r="DG26" i="2" s="1"/>
  <c r="DG27" i="2" s="1"/>
  <c r="DG28" i="2" s="1"/>
  <c r="DG29" i="2" s="1"/>
  <c r="CU5" i="2"/>
  <c r="CI5" i="2"/>
  <c r="CH5" i="2"/>
  <c r="CH6" i="2" s="1"/>
  <c r="CH7" i="2" s="1"/>
  <c r="CH8" i="2" s="1"/>
  <c r="CH9" i="2" s="1"/>
  <c r="CH10" i="2" s="1"/>
  <c r="CH11" i="2" s="1"/>
  <c r="CH12" i="2" s="1"/>
  <c r="CH13" i="2" s="1"/>
  <c r="CH14" i="2" s="1"/>
  <c r="CH15" i="2" s="1"/>
  <c r="CH16" i="2" s="1"/>
  <c r="CH17" i="2" s="1"/>
  <c r="CH18" i="2" s="1"/>
  <c r="CH19" i="2" s="1"/>
  <c r="CH20" i="2" s="1"/>
  <c r="CH21" i="2" s="1"/>
  <c r="CH22" i="2" s="1"/>
  <c r="CH23" i="2" s="1"/>
  <c r="CH24" i="2" s="1"/>
  <c r="CH25" i="2" s="1"/>
  <c r="CH26" i="2" s="1"/>
  <c r="CH27" i="2" s="1"/>
  <c r="CH28" i="2" s="1"/>
  <c r="CH29" i="2" s="1"/>
  <c r="BW5" i="2"/>
  <c r="BW6" i="2" s="1"/>
  <c r="BW7" i="2" s="1"/>
  <c r="BW8" i="2" s="1"/>
  <c r="BL5" i="2"/>
  <c r="BK5" i="2"/>
  <c r="BK6" i="2" s="1"/>
  <c r="BK7" i="2" s="1"/>
  <c r="BK8" i="2" s="1"/>
  <c r="BK9" i="2" s="1"/>
  <c r="BK10" i="2" s="1"/>
  <c r="BK11" i="2" s="1"/>
  <c r="BK12" i="2" s="1"/>
  <c r="BK13" i="2" s="1"/>
  <c r="BK14" i="2" s="1"/>
  <c r="BK15" i="2" s="1"/>
  <c r="BK16" i="2" s="1"/>
  <c r="BK17" i="2" s="1"/>
  <c r="BK18" i="2" s="1"/>
  <c r="BK19" i="2" s="1"/>
  <c r="BK20" i="2" s="1"/>
  <c r="BK21" i="2" s="1"/>
  <c r="BK22" i="2" s="1"/>
  <c r="BK23" i="2" s="1"/>
  <c r="BK24" i="2" s="1"/>
  <c r="BK25" i="2" s="1"/>
  <c r="BK26" i="2" s="1"/>
  <c r="BK27" i="2" s="1"/>
  <c r="BK28" i="2" s="1"/>
  <c r="BK29" i="2" s="1"/>
  <c r="AQ5" i="2"/>
  <c r="AS5" i="2" s="1"/>
  <c r="AP5" i="2"/>
  <c r="AP6" i="2" s="1"/>
  <c r="AP7" i="2" s="1"/>
  <c r="AP8" i="2" s="1"/>
  <c r="AP9" i="2" s="1"/>
  <c r="AP10" i="2" s="1"/>
  <c r="AP11" i="2" s="1"/>
  <c r="AP12" i="2" s="1"/>
  <c r="AP13" i="2" s="1"/>
  <c r="AP14" i="2" s="1"/>
  <c r="AP15" i="2" s="1"/>
  <c r="AP16" i="2" s="1"/>
  <c r="AP17" i="2" s="1"/>
  <c r="AP18" i="2" s="1"/>
  <c r="AP19" i="2" s="1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J5" i="2"/>
  <c r="AJ6" i="2" s="1"/>
  <c r="AJ7" i="2" s="1"/>
  <c r="AC5" i="2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V5" i="2"/>
  <c r="U5" i="2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O5" i="2"/>
  <c r="J5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JG4" i="2"/>
  <c r="HQ4" i="2"/>
  <c r="GV4" i="2"/>
  <c r="GG4" i="2"/>
  <c r="DW4" i="2" s="1"/>
  <c r="FI4" i="2"/>
  <c r="EN4" i="2"/>
  <c r="DH4" i="2"/>
  <c r="CI4" i="2"/>
  <c r="BY9" i="2"/>
  <c r="BL4" i="2"/>
  <c r="BE4" i="2"/>
  <c r="BN2" i="2" s="1"/>
  <c r="AQ4" i="2"/>
  <c r="AS4" i="2" s="1"/>
  <c r="V4" i="2"/>
  <c r="O4" i="2"/>
  <c r="J4" i="2"/>
  <c r="JH2" i="2"/>
  <c r="HR2" i="2"/>
  <c r="FK2" i="2"/>
  <c r="DB2" i="2"/>
  <c r="DA2" i="2"/>
  <c r="CZ2" i="2"/>
  <c r="BP2" i="2"/>
  <c r="MN35" i="1"/>
  <c r="FQ36" i="1"/>
  <c r="FS35" i="1"/>
  <c r="MN34" i="1"/>
  <c r="FS34" i="1"/>
  <c r="MN32" i="1"/>
  <c r="MN31" i="1"/>
  <c r="FR32" i="1"/>
  <c r="FS31" i="1"/>
  <c r="FS30" i="1"/>
  <c r="FS29" i="1"/>
  <c r="FQ32" i="1"/>
  <c r="FS28" i="1"/>
  <c r="MQ27" i="1"/>
  <c r="MR27" i="1" s="1"/>
  <c r="MH27" i="1"/>
  <c r="FS27" i="1"/>
  <c r="MP26" i="1"/>
  <c r="MQ26" i="1" s="1"/>
  <c r="MR26" i="1" s="1"/>
  <c r="MH26" i="1"/>
  <c r="KE26" i="1"/>
  <c r="JV26" i="1"/>
  <c r="MN25" i="1"/>
  <c r="KB25" i="1"/>
  <c r="KD25" i="1"/>
  <c r="IB25" i="1"/>
  <c r="LL25" i="1" s="1"/>
  <c r="JZ25" i="1"/>
  <c r="HJ25" i="1"/>
  <c r="IT25" i="1" s="1"/>
  <c r="MN24" i="1"/>
  <c r="JA24" i="1"/>
  <c r="LO24" i="1" s="1"/>
  <c r="KD24" i="1"/>
  <c r="KB24" i="1"/>
  <c r="JZ24" i="1"/>
  <c r="IB24" i="1"/>
  <c r="LL24" i="1" s="1"/>
  <c r="HI24" i="1"/>
  <c r="II24" i="1" s="1"/>
  <c r="FS24" i="1"/>
  <c r="N24" i="1"/>
  <c r="MN23" i="1"/>
  <c r="KB23" i="1"/>
  <c r="JV23" i="1"/>
  <c r="JK23" i="1"/>
  <c r="IB23" i="1"/>
  <c r="LL23" i="1" s="1"/>
  <c r="KD23" i="1"/>
  <c r="JZ23" i="1"/>
  <c r="HJ23" i="1"/>
  <c r="FS23" i="1"/>
  <c r="KD22" i="1"/>
  <c r="KB22" i="1"/>
  <c r="JZ22" i="1"/>
  <c r="HI22" i="1"/>
  <c r="II22" i="1" s="1"/>
  <c r="IP22" i="1" s="1"/>
  <c r="FQ25" i="1"/>
  <c r="MN21" i="1"/>
  <c r="KD21" i="1"/>
  <c r="KB21" i="1"/>
  <c r="JZ21" i="1"/>
  <c r="IB21" i="1"/>
  <c r="LL21" i="1" s="1"/>
  <c r="HI21" i="1"/>
  <c r="II21" i="1" s="1"/>
  <c r="IP21" i="1" s="1"/>
  <c r="MN20" i="1"/>
  <c r="JA20" i="1"/>
  <c r="LO20" i="1" s="1"/>
  <c r="KD20" i="1"/>
  <c r="KB20" i="1"/>
  <c r="JZ20" i="1"/>
  <c r="IB20" i="1"/>
  <c r="LL20" i="1" s="1"/>
  <c r="HJ20" i="1"/>
  <c r="HS20" i="1" s="1"/>
  <c r="HU20" i="1" s="1"/>
  <c r="CH20" i="1"/>
  <c r="CE20" i="1"/>
  <c r="CB20" i="1"/>
  <c r="BY20" i="1"/>
  <c r="BV20" i="1"/>
  <c r="BR20" i="1"/>
  <c r="BN20" i="1"/>
  <c r="BJ20" i="1"/>
  <c r="BF20" i="1"/>
  <c r="BB20" i="1"/>
  <c r="AX20" i="1"/>
  <c r="H20" i="1"/>
  <c r="MN19" i="1"/>
  <c r="JI19" i="1"/>
  <c r="JJ19" i="1" s="1"/>
  <c r="JM19" i="1" s="1"/>
  <c r="KM20" i="1" s="1"/>
  <c r="KD19" i="1"/>
  <c r="IB19" i="1"/>
  <c r="LL19" i="1" s="1"/>
  <c r="KB19" i="1"/>
  <c r="JZ19" i="1"/>
  <c r="HI19" i="1"/>
  <c r="II19" i="1" s="1"/>
  <c r="IP19" i="1" s="1"/>
  <c r="FS19" i="1"/>
  <c r="CH19" i="1"/>
  <c r="CE19" i="1"/>
  <c r="CB19" i="1"/>
  <c r="BY19" i="1"/>
  <c r="BV19" i="1"/>
  <c r="BR19" i="1"/>
  <c r="BN19" i="1"/>
  <c r="BJ19" i="1"/>
  <c r="BF19" i="1"/>
  <c r="BB19" i="1"/>
  <c r="AX19" i="1"/>
  <c r="MN18" i="1"/>
  <c r="KD18" i="1"/>
  <c r="KB18" i="1"/>
  <c r="JZ18" i="1"/>
  <c r="IB18" i="1"/>
  <c r="LL18" i="1" s="1"/>
  <c r="FS18" i="1"/>
  <c r="CH18" i="1"/>
  <c r="CE18" i="1"/>
  <c r="CB18" i="1"/>
  <c r="BY18" i="1"/>
  <c r="BV18" i="1"/>
  <c r="BR18" i="1"/>
  <c r="BN18" i="1"/>
  <c r="BJ18" i="1"/>
  <c r="BF18" i="1"/>
  <c r="BB18" i="1"/>
  <c r="AX18" i="1"/>
  <c r="MN17" i="1"/>
  <c r="KB17" i="1"/>
  <c r="JK17" i="1"/>
  <c r="JA17" i="1"/>
  <c r="LO17" i="1" s="1"/>
  <c r="KD17" i="1"/>
  <c r="JZ17" i="1"/>
  <c r="IB17" i="1"/>
  <c r="LL17" i="1" s="1"/>
  <c r="HJ17" i="1"/>
  <c r="HI17" i="1"/>
  <c r="II17" i="1" s="1"/>
  <c r="JI17" i="1"/>
  <c r="JJ17" i="1" s="1"/>
  <c r="JM17" i="1" s="1"/>
  <c r="KM18" i="1" s="1"/>
  <c r="FS17" i="1"/>
  <c r="CH17" i="1"/>
  <c r="CE17" i="1"/>
  <c r="CB17" i="1"/>
  <c r="BY17" i="1"/>
  <c r="BV17" i="1"/>
  <c r="BR17" i="1"/>
  <c r="BN17" i="1"/>
  <c r="BJ17" i="1"/>
  <c r="BF17" i="1"/>
  <c r="BB17" i="1"/>
  <c r="AX17" i="1"/>
  <c r="MN16" i="1"/>
  <c r="KB16" i="1"/>
  <c r="JV16" i="1"/>
  <c r="JA16" i="1"/>
  <c r="LO16" i="1" s="1"/>
  <c r="KD16" i="1"/>
  <c r="IB16" i="1"/>
  <c r="LL16" i="1" s="1"/>
  <c r="JZ16" i="1"/>
  <c r="FS16" i="1"/>
  <c r="CH16" i="1"/>
  <c r="CE16" i="1"/>
  <c r="CB16" i="1"/>
  <c r="BY16" i="1"/>
  <c r="BV16" i="1"/>
  <c r="BR16" i="1"/>
  <c r="BN16" i="1"/>
  <c r="BJ16" i="1"/>
  <c r="BF16" i="1"/>
  <c r="BB16" i="1"/>
  <c r="AX16" i="1"/>
  <c r="AN16" i="1"/>
  <c r="AN17" i="1" s="1"/>
  <c r="AN18" i="1" s="1"/>
  <c r="AN19" i="1" s="1"/>
  <c r="AN20" i="1" s="1"/>
  <c r="MN15" i="1"/>
  <c r="KD15" i="1"/>
  <c r="KB15" i="1"/>
  <c r="JV15" i="1"/>
  <c r="JK15" i="1"/>
  <c r="JA15" i="1"/>
  <c r="LO15" i="1" s="1"/>
  <c r="JZ15" i="1"/>
  <c r="IB15" i="1"/>
  <c r="LL15" i="1" s="1"/>
  <c r="HI15" i="1"/>
  <c r="II15" i="1" s="1"/>
  <c r="IP15" i="1" s="1"/>
  <c r="FS15" i="1"/>
  <c r="CH15" i="1"/>
  <c r="CE15" i="1"/>
  <c r="CB15" i="1"/>
  <c r="BY15" i="1"/>
  <c r="BV15" i="1"/>
  <c r="BR15" i="1"/>
  <c r="BN15" i="1"/>
  <c r="BJ15" i="1"/>
  <c r="BF15" i="1"/>
  <c r="BB15" i="1"/>
  <c r="AX15" i="1"/>
  <c r="MN14" i="1"/>
  <c r="IB14" i="1"/>
  <c r="LL14" i="1" s="1"/>
  <c r="KD14" i="1"/>
  <c r="KB14" i="1"/>
  <c r="JZ14" i="1"/>
  <c r="HJ14" i="1"/>
  <c r="JI14" i="1"/>
  <c r="JJ14" i="1" s="1"/>
  <c r="JM14" i="1" s="1"/>
  <c r="KM15" i="1" s="1"/>
  <c r="FS14" i="1"/>
  <c r="CH14" i="1"/>
  <c r="CE14" i="1"/>
  <c r="CB14" i="1"/>
  <c r="BY14" i="1"/>
  <c r="BV14" i="1"/>
  <c r="BR14" i="1"/>
  <c r="BN14" i="1"/>
  <c r="BJ14" i="1"/>
  <c r="BF14" i="1"/>
  <c r="BB14" i="1"/>
  <c r="AX14" i="1"/>
  <c r="MN13" i="1"/>
  <c r="KB13" i="1"/>
  <c r="JA13" i="1"/>
  <c r="LO13" i="1" s="1"/>
  <c r="KD13" i="1"/>
  <c r="IB13" i="1"/>
  <c r="LL13" i="1" s="1"/>
  <c r="JZ13" i="1"/>
  <c r="JK13" i="1"/>
  <c r="HJ13" i="1"/>
  <c r="HI13" i="1"/>
  <c r="II13" i="1" s="1"/>
  <c r="FS13" i="1"/>
  <c r="CH13" i="1"/>
  <c r="CE13" i="1"/>
  <c r="CB13" i="1"/>
  <c r="BY13" i="1"/>
  <c r="BV13" i="1"/>
  <c r="BR13" i="1"/>
  <c r="BN13" i="1"/>
  <c r="BJ13" i="1"/>
  <c r="BF13" i="1"/>
  <c r="BB13" i="1"/>
  <c r="AX13" i="1"/>
  <c r="MN12" i="1"/>
  <c r="KB12" i="1"/>
  <c r="JV12" i="1"/>
  <c r="JK12" i="1"/>
  <c r="IB12" i="1"/>
  <c r="LL12" i="1" s="1"/>
  <c r="KD12" i="1"/>
  <c r="JZ12" i="1"/>
  <c r="HJ12" i="1"/>
  <c r="GK12" i="1"/>
  <c r="GG12" i="1"/>
  <c r="FS12" i="1"/>
  <c r="EF12" i="1"/>
  <c r="ED12" i="1"/>
  <c r="MN11" i="1"/>
  <c r="MF11" i="1"/>
  <c r="MF29" i="1" s="1"/>
  <c r="KB11" i="1"/>
  <c r="JV11" i="1"/>
  <c r="JK11" i="1"/>
  <c r="JA11" i="1"/>
  <c r="LO11" i="1" s="1"/>
  <c r="KD11" i="1"/>
  <c r="JZ11" i="1"/>
  <c r="HJ11" i="1"/>
  <c r="GK11" i="1"/>
  <c r="GG11" i="1"/>
  <c r="CH11" i="1"/>
  <c r="CE11" i="1"/>
  <c r="CB11" i="1"/>
  <c r="BY11" i="1"/>
  <c r="BV11" i="1"/>
  <c r="BR11" i="1"/>
  <c r="BN11" i="1"/>
  <c r="BJ11" i="1"/>
  <c r="BF11" i="1"/>
  <c r="BB11" i="1"/>
  <c r="AX11" i="1"/>
  <c r="J11" i="1"/>
  <c r="M11" i="1"/>
  <c r="MN10" i="1"/>
  <c r="JV10" i="1"/>
  <c r="JA10" i="1"/>
  <c r="LO10" i="1" s="1"/>
  <c r="KD10" i="1"/>
  <c r="KB10" i="1"/>
  <c r="JZ10" i="1"/>
  <c r="HJ10" i="1"/>
  <c r="IJ10" i="1" s="1"/>
  <c r="IX10" i="1" s="1"/>
  <c r="HI10" i="1"/>
  <c r="II10" i="1" s="1"/>
  <c r="JI10" i="1"/>
  <c r="JJ10" i="1" s="1"/>
  <c r="JM10" i="1" s="1"/>
  <c r="KM11" i="1" s="1"/>
  <c r="GK10" i="1"/>
  <c r="GG10" i="1"/>
  <c r="FS10" i="1"/>
  <c r="EE12" i="1"/>
  <c r="CH10" i="1"/>
  <c r="CE10" i="1"/>
  <c r="CB10" i="1"/>
  <c r="BY10" i="1"/>
  <c r="BV10" i="1"/>
  <c r="BR10" i="1"/>
  <c r="BN10" i="1"/>
  <c r="BJ10" i="1"/>
  <c r="BF10" i="1"/>
  <c r="BB10" i="1"/>
  <c r="AX10" i="1"/>
  <c r="MN9" i="1"/>
  <c r="JZ9" i="1"/>
  <c r="JK9" i="1"/>
  <c r="JI9" i="1"/>
  <c r="JJ9" i="1" s="1"/>
  <c r="JM9" i="1" s="1"/>
  <c r="KM10" i="1" s="1"/>
  <c r="KV10" i="1" s="1"/>
  <c r="IB9" i="1"/>
  <c r="LL9" i="1" s="1"/>
  <c r="KD9" i="1"/>
  <c r="KB9" i="1"/>
  <c r="HI9" i="1"/>
  <c r="II9" i="1" s="1"/>
  <c r="IP9" i="1" s="1"/>
  <c r="GK9" i="1"/>
  <c r="GG9" i="1"/>
  <c r="FS9" i="1"/>
  <c r="EN9" i="1"/>
  <c r="CS9" i="1"/>
  <c r="CH9" i="1"/>
  <c r="CE9" i="1"/>
  <c r="CB9" i="1"/>
  <c r="BY9" i="1"/>
  <c r="BV9" i="1"/>
  <c r="BR9" i="1"/>
  <c r="BN9" i="1"/>
  <c r="BJ9" i="1"/>
  <c r="BF9" i="1"/>
  <c r="BB9" i="1"/>
  <c r="AX9" i="1"/>
  <c r="MN8" i="1"/>
  <c r="MM8" i="1"/>
  <c r="MM9" i="1" s="1"/>
  <c r="MM10" i="1" s="1"/>
  <c r="MM11" i="1" s="1"/>
  <c r="MM12" i="1" s="1"/>
  <c r="MM13" i="1" s="1"/>
  <c r="MM14" i="1" s="1"/>
  <c r="MM15" i="1" s="1"/>
  <c r="MM16" i="1" s="1"/>
  <c r="MM17" i="1" s="1"/>
  <c r="MM18" i="1" s="1"/>
  <c r="MM19" i="1" s="1"/>
  <c r="MM20" i="1" s="1"/>
  <c r="MM21" i="1" s="1"/>
  <c r="MM22" i="1" s="1"/>
  <c r="MM23" i="1" s="1"/>
  <c r="MM24" i="1" s="1"/>
  <c r="MM25" i="1" s="1"/>
  <c r="MM26" i="1" s="1"/>
  <c r="MM27" i="1" s="1"/>
  <c r="MM28" i="1" s="1"/>
  <c r="MM29" i="1" s="1"/>
  <c r="MM30" i="1" s="1"/>
  <c r="MM31" i="1" s="1"/>
  <c r="MM32" i="1" s="1"/>
  <c r="MM34" i="1" s="1"/>
  <c r="MM35" i="1" s="1"/>
  <c r="MD8" i="1"/>
  <c r="MD9" i="1" s="1"/>
  <c r="MD10" i="1" s="1"/>
  <c r="MD11" i="1" s="1"/>
  <c r="MD12" i="1" s="1"/>
  <c r="MD13" i="1" s="1"/>
  <c r="MD14" i="1" s="1"/>
  <c r="MD15" i="1" s="1"/>
  <c r="MD16" i="1" s="1"/>
  <c r="MD17" i="1" s="1"/>
  <c r="MD18" i="1" s="1"/>
  <c r="MD19" i="1" s="1"/>
  <c r="MD20" i="1" s="1"/>
  <c r="MD21" i="1" s="1"/>
  <c r="MD22" i="1" s="1"/>
  <c r="MD23" i="1" s="1"/>
  <c r="MD24" i="1" s="1"/>
  <c r="MD25" i="1" s="1"/>
  <c r="MD26" i="1" s="1"/>
  <c r="MD27" i="1" s="1"/>
  <c r="MD28" i="1" s="1"/>
  <c r="MD29" i="1" s="1"/>
  <c r="MD30" i="1" s="1"/>
  <c r="MD31" i="1" s="1"/>
  <c r="MD32" i="1" s="1"/>
  <c r="MD34" i="1" s="1"/>
  <c r="MD35" i="1" s="1"/>
  <c r="JZ8" i="1"/>
  <c r="JV8" i="1"/>
  <c r="JI8" i="1"/>
  <c r="JJ8" i="1" s="1"/>
  <c r="JM8" i="1" s="1"/>
  <c r="KM9" i="1" s="1"/>
  <c r="KD8" i="1"/>
  <c r="KB8" i="1"/>
  <c r="IB8" i="1"/>
  <c r="LL8" i="1" s="1"/>
  <c r="HI8" i="1"/>
  <c r="II8" i="1" s="1"/>
  <c r="IP8" i="1" s="1"/>
  <c r="KT9" i="1" s="1"/>
  <c r="GK8" i="1"/>
  <c r="GG8" i="1"/>
  <c r="FS8" i="1"/>
  <c r="FM8" i="1"/>
  <c r="FM9" i="1" s="1"/>
  <c r="FM10" i="1" s="1"/>
  <c r="FM11" i="1" s="1"/>
  <c r="FM12" i="1" s="1"/>
  <c r="FM13" i="1" s="1"/>
  <c r="FM14" i="1" s="1"/>
  <c r="FM15" i="1" s="1"/>
  <c r="FM16" i="1" s="1"/>
  <c r="FM17" i="1" s="1"/>
  <c r="FM18" i="1" s="1"/>
  <c r="FM19" i="1" s="1"/>
  <c r="FM20" i="1" s="1"/>
  <c r="FM21" i="1" s="1"/>
  <c r="FM22" i="1" s="1"/>
  <c r="FM23" i="1" s="1"/>
  <c r="FM24" i="1" s="1"/>
  <c r="FM25" i="1" s="1"/>
  <c r="FM26" i="1" s="1"/>
  <c r="FM27" i="1" s="1"/>
  <c r="FM28" i="1" s="1"/>
  <c r="FM29" i="1" s="1"/>
  <c r="FM30" i="1" s="1"/>
  <c r="FM31" i="1" s="1"/>
  <c r="FM32" i="1" s="1"/>
  <c r="FM33" i="1" s="1"/>
  <c r="FM34" i="1" s="1"/>
  <c r="FM35" i="1" s="1"/>
  <c r="FM36" i="1" s="1"/>
  <c r="FM37" i="1" s="1"/>
  <c r="FF8" i="1"/>
  <c r="FB8" i="1"/>
  <c r="ES8" i="1"/>
  <c r="EO8" i="1"/>
  <c r="CZ8" i="1"/>
  <c r="CV8" i="1"/>
  <c r="CH8" i="1"/>
  <c r="CE8" i="1"/>
  <c r="CB8" i="1"/>
  <c r="BY8" i="1"/>
  <c r="BV8" i="1"/>
  <c r="BR8" i="1"/>
  <c r="BN8" i="1"/>
  <c r="BJ8" i="1"/>
  <c r="BF8" i="1"/>
  <c r="BB8" i="1"/>
  <c r="AX8" i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MN7" i="1"/>
  <c r="LX7" i="1"/>
  <c r="LX8" i="1" s="1"/>
  <c r="LX9" i="1" s="1"/>
  <c r="LX10" i="1" s="1"/>
  <c r="LX11" i="1" s="1"/>
  <c r="LX12" i="1" s="1"/>
  <c r="LX13" i="1" s="1"/>
  <c r="KK7" i="1"/>
  <c r="KK8" i="1" s="1"/>
  <c r="KK9" i="1" s="1"/>
  <c r="KK10" i="1" s="1"/>
  <c r="KK11" i="1" s="1"/>
  <c r="KK12" i="1" s="1"/>
  <c r="KK13" i="1" s="1"/>
  <c r="KK14" i="1" s="1"/>
  <c r="KK15" i="1" s="1"/>
  <c r="KK16" i="1" s="1"/>
  <c r="KK17" i="1" s="1"/>
  <c r="KK18" i="1" s="1"/>
  <c r="KK19" i="1" s="1"/>
  <c r="KK20" i="1" s="1"/>
  <c r="KK21" i="1" s="1"/>
  <c r="KK22" i="1" s="1"/>
  <c r="KK23" i="1" s="1"/>
  <c r="KK24" i="1" s="1"/>
  <c r="KK25" i="1" s="1"/>
  <c r="KK26" i="1" s="1"/>
  <c r="KK27" i="1" s="1"/>
  <c r="KK28" i="1" s="1"/>
  <c r="KB7" i="1"/>
  <c r="JZ7" i="1"/>
  <c r="JI7" i="1"/>
  <c r="JJ7" i="1" s="1"/>
  <c r="IV7" i="1"/>
  <c r="IB7" i="1"/>
  <c r="LL7" i="1" s="1"/>
  <c r="KD7" i="1"/>
  <c r="HJ7" i="1"/>
  <c r="IJ7" i="1" s="1"/>
  <c r="JK7" i="1"/>
  <c r="HI7" i="1"/>
  <c r="II7" i="1" s="1"/>
  <c r="IP7" i="1" s="1"/>
  <c r="GU9" i="1"/>
  <c r="GG7" i="1"/>
  <c r="FR20" i="1"/>
  <c r="FQ20" i="1"/>
  <c r="FF7" i="1"/>
  <c r="FC9" i="1"/>
  <c r="FB7" i="1"/>
  <c r="ES7" i="1"/>
  <c r="EO7" i="1"/>
  <c r="EB12" i="1"/>
  <c r="EA12" i="1"/>
  <c r="DZ12" i="1"/>
  <c r="DY12" i="1"/>
  <c r="CZ7" i="1"/>
  <c r="CH7" i="1"/>
  <c r="CE7" i="1"/>
  <c r="CB7" i="1"/>
  <c r="BY7" i="1"/>
  <c r="BV7" i="1"/>
  <c r="BR7" i="1"/>
  <c r="BN7" i="1"/>
  <c r="BJ7" i="1"/>
  <c r="BF7" i="1"/>
  <c r="BB7" i="1"/>
  <c r="AX7" i="1"/>
  <c r="V7" i="1"/>
  <c r="V8" i="1" s="1"/>
  <c r="V10" i="1" s="1"/>
  <c r="V11" i="1" s="1"/>
  <c r="V12" i="1" s="1"/>
  <c r="V14" i="1" s="1"/>
  <c r="V15" i="1" s="1"/>
  <c r="V16" i="1" s="1"/>
  <c r="V18" i="1" s="1"/>
  <c r="V19" i="1" s="1"/>
  <c r="V20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s="1"/>
  <c r="B25" i="1" s="1"/>
  <c r="JV6" i="1"/>
  <c r="IO26" i="1"/>
  <c r="KD6" i="1"/>
  <c r="KB6" i="1"/>
  <c r="HX26" i="1"/>
  <c r="HW26" i="1"/>
  <c r="K8" i="1" s="1"/>
  <c r="HV26" i="1"/>
  <c r="HJ6" i="1"/>
  <c r="HS6" i="1" s="1"/>
  <c r="HU6" i="1" s="1"/>
  <c r="HE26" i="1"/>
  <c r="GJ13" i="1"/>
  <c r="GI13" i="1"/>
  <c r="GH13" i="1"/>
  <c r="GG6" i="1"/>
  <c r="GF13" i="1"/>
  <c r="GE13" i="1"/>
  <c r="GD13" i="1"/>
  <c r="FE9" i="1"/>
  <c r="FD9" i="1"/>
  <c r="FA9" i="1"/>
  <c r="EZ9" i="1"/>
  <c r="EY9" i="1"/>
  <c r="ER9" i="1"/>
  <c r="ES6" i="1"/>
  <c r="EP9" i="1"/>
  <c r="EO6" i="1"/>
  <c r="EM9" i="1"/>
  <c r="EL9" i="1"/>
  <c r="EB6" i="1"/>
  <c r="DS9" i="1"/>
  <c r="DR9" i="1"/>
  <c r="DQ9" i="1"/>
  <c r="DP9" i="1"/>
  <c r="DJ9" i="1"/>
  <c r="DI9" i="1"/>
  <c r="DH9" i="1"/>
  <c r="DG9" i="1"/>
  <c r="DF9" i="1"/>
  <c r="CX9" i="1"/>
  <c r="CW9" i="1"/>
  <c r="CU9" i="1"/>
  <c r="CT9" i="1"/>
  <c r="JU5" i="1"/>
  <c r="KR4" i="1"/>
  <c r="KT4" i="1" s="1"/>
  <c r="KB4" i="1"/>
  <c r="JW4" i="1"/>
  <c r="JV4" i="1"/>
  <c r="IK4" i="1"/>
  <c r="IO4" i="1" s="1"/>
  <c r="IQ4" i="1" s="1"/>
  <c r="HS4" i="1"/>
  <c r="FV4" i="1"/>
  <c r="FT4" i="1"/>
  <c r="AJ4" i="1"/>
  <c r="AI4" i="1"/>
  <c r="AH4" i="1"/>
  <c r="CW3" i="1"/>
  <c r="DH3" i="1" s="1"/>
  <c r="EC3" i="1" s="1"/>
  <c r="EP3" i="1" s="1"/>
  <c r="CS3" i="1"/>
  <c r="DF3" i="1" s="1"/>
  <c r="HA25" i="2" l="1"/>
  <c r="AS25" i="2"/>
  <c r="AU25" i="2" s="1"/>
  <c r="N11" i="1"/>
  <c r="Q11" i="1" s="1"/>
  <c r="LR17" i="1"/>
  <c r="O11" i="1"/>
  <c r="KB26" i="1"/>
  <c r="LR15" i="1"/>
  <c r="FQ37" i="1"/>
  <c r="MH11" i="1"/>
  <c r="MH29" i="1" s="1"/>
  <c r="FC3" i="1"/>
  <c r="FT3" i="1"/>
  <c r="GH3" i="1" s="1"/>
  <c r="GU3" i="1" s="1"/>
  <c r="LR16" i="1"/>
  <c r="KT10" i="1"/>
  <c r="KD26" i="1"/>
  <c r="KE27" i="1" s="1"/>
  <c r="AJ7" i="1"/>
  <c r="F16" i="1"/>
  <c r="EO9" i="1"/>
  <c r="IT10" i="1"/>
  <c r="IZ10" i="1"/>
  <c r="IV10" i="1"/>
  <c r="IL10" i="1"/>
  <c r="IS4" i="1"/>
  <c r="IU4" i="1" s="1"/>
  <c r="IW4" i="1"/>
  <c r="F15" i="1"/>
  <c r="KX4" i="1"/>
  <c r="KV4" i="1"/>
  <c r="H15" i="1"/>
  <c r="IT7" i="1"/>
  <c r="IL7" i="1"/>
  <c r="IX7" i="1"/>
  <c r="H16" i="1"/>
  <c r="IC6" i="1"/>
  <c r="LM6" i="1" s="1"/>
  <c r="JX6" i="1"/>
  <c r="ES9" i="1"/>
  <c r="AH11" i="1"/>
  <c r="F17" i="1"/>
  <c r="DP3" i="1"/>
  <c r="DY3" i="1"/>
  <c r="EL3" i="1" s="1"/>
  <c r="AI11" i="1"/>
  <c r="IN10" i="1"/>
  <c r="HG26" i="1"/>
  <c r="HS10" i="1"/>
  <c r="HU10" i="1" s="1"/>
  <c r="GG13" i="1"/>
  <c r="H25" i="1"/>
  <c r="F25" i="1"/>
  <c r="CI23" i="1" s="1"/>
  <c r="CL23" i="1" s="1"/>
  <c r="CM23" i="1" s="1"/>
  <c r="IQ26" i="1"/>
  <c r="GT7" i="1"/>
  <c r="HH26" i="1"/>
  <c r="KE11" i="1" s="1"/>
  <c r="HZ26" i="1"/>
  <c r="IR26" i="1"/>
  <c r="JK6" i="1"/>
  <c r="AH7" i="1"/>
  <c r="EQ9" i="1"/>
  <c r="IB10" i="1"/>
  <c r="LL10" i="1" s="1"/>
  <c r="LR10" i="1" s="1"/>
  <c r="JI12" i="1"/>
  <c r="JJ12" i="1" s="1"/>
  <c r="JM12" i="1" s="1"/>
  <c r="KM13" i="1" s="1"/>
  <c r="KV13" i="1" s="1"/>
  <c r="IJ17" i="1"/>
  <c r="IZ17" i="1" s="1"/>
  <c r="HS17" i="1"/>
  <c r="HU17" i="1" s="1"/>
  <c r="JV21" i="1"/>
  <c r="FB6" i="1"/>
  <c r="FB9" i="1" s="1"/>
  <c r="HY26" i="1"/>
  <c r="JI6" i="1"/>
  <c r="FS7" i="1"/>
  <c r="GK6" i="1"/>
  <c r="GK13" i="1" s="1"/>
  <c r="HI6" i="1"/>
  <c r="II6" i="1" s="1"/>
  <c r="IP6" i="1" s="1"/>
  <c r="IA26" i="1"/>
  <c r="IS26" i="1"/>
  <c r="AI7" i="1"/>
  <c r="HS7" i="1"/>
  <c r="HU7" i="1" s="1"/>
  <c r="HJ8" i="1"/>
  <c r="X12" i="1"/>
  <c r="AA10" i="1"/>
  <c r="IP10" i="1"/>
  <c r="KT11" i="1" s="1"/>
  <c r="IB11" i="1"/>
  <c r="LL11" i="1" s="1"/>
  <c r="LR11" i="1" s="1"/>
  <c r="IJ12" i="1"/>
  <c r="IX12" i="1" s="1"/>
  <c r="HS12" i="1"/>
  <c r="HU12" i="1" s="1"/>
  <c r="GT6" i="1"/>
  <c r="IB6" i="1"/>
  <c r="LL6" i="1" s="1"/>
  <c r="IU26" i="1"/>
  <c r="GV9" i="1"/>
  <c r="JA7" i="1"/>
  <c r="LO7" i="1" s="1"/>
  <c r="LR7" i="1" s="1"/>
  <c r="IZ7" i="1"/>
  <c r="GQ9" i="1"/>
  <c r="HJ9" i="1"/>
  <c r="Y12" i="1"/>
  <c r="FS11" i="1"/>
  <c r="LR13" i="1"/>
  <c r="KV18" i="1"/>
  <c r="IC20" i="1"/>
  <c r="LM20" i="1" s="1"/>
  <c r="JX20" i="1"/>
  <c r="JV7" i="1"/>
  <c r="JA8" i="1"/>
  <c r="LO8" i="1" s="1"/>
  <c r="LR8" i="1" s="1"/>
  <c r="GR9" i="1"/>
  <c r="KV11" i="1"/>
  <c r="H17" i="1"/>
  <c r="LR20" i="1"/>
  <c r="JZ6" i="1"/>
  <c r="AJ11" i="1"/>
  <c r="AJ13" i="1" s="1"/>
  <c r="CV6" i="1"/>
  <c r="FF6" i="1"/>
  <c r="IJ6" i="1"/>
  <c r="IL6" i="1" s="1"/>
  <c r="IW26" i="1"/>
  <c r="IN7" i="1"/>
  <c r="GT8" i="1"/>
  <c r="JA14" i="1"/>
  <c r="LO14" i="1" s="1"/>
  <c r="LR14" i="1" s="1"/>
  <c r="IK26" i="1"/>
  <c r="JA9" i="1"/>
  <c r="LO9" i="1" s="1"/>
  <c r="LR9" i="1" s="1"/>
  <c r="JI11" i="1"/>
  <c r="JJ11" i="1" s="1"/>
  <c r="JM11" i="1" s="1"/>
  <c r="KM12" i="1" s="1"/>
  <c r="KV12" i="1" s="1"/>
  <c r="IJ14" i="1"/>
  <c r="IN14" i="1" s="1"/>
  <c r="HS14" i="1"/>
  <c r="HU14" i="1" s="1"/>
  <c r="JV18" i="1"/>
  <c r="IM4" i="1"/>
  <c r="CZ6" i="1"/>
  <c r="CZ9" i="1" s="1"/>
  <c r="CY9" i="1"/>
  <c r="HT26" i="1"/>
  <c r="IY26" i="1"/>
  <c r="GX8" i="1"/>
  <c r="KV9" i="1"/>
  <c r="IJ11" i="1"/>
  <c r="IV11" i="1" s="1"/>
  <c r="HS11" i="1"/>
  <c r="HU11" i="1" s="1"/>
  <c r="HW27" i="1"/>
  <c r="JZ26" i="1"/>
  <c r="HF26" i="1"/>
  <c r="HI26" i="1" s="1"/>
  <c r="II26" i="1" s="1"/>
  <c r="IM26" i="1"/>
  <c r="Z12" i="1"/>
  <c r="JA18" i="1"/>
  <c r="LO18" i="1" s="1"/>
  <c r="LR18" i="1" s="1"/>
  <c r="HI12" i="1"/>
  <c r="II12" i="1" s="1"/>
  <c r="IP12" i="1" s="1"/>
  <c r="KT13" i="1" s="1"/>
  <c r="FI9" i="1"/>
  <c r="DR3" i="1"/>
  <c r="GX6" i="1"/>
  <c r="JA6" i="1"/>
  <c r="LO6" i="1" s="1"/>
  <c r="AA7" i="1"/>
  <c r="CV7" i="1"/>
  <c r="FP20" i="1"/>
  <c r="JM7" i="1"/>
  <c r="KM8" i="1" s="1"/>
  <c r="KV8" i="1" s="1"/>
  <c r="JK8" i="1"/>
  <c r="HI11" i="1"/>
  <c r="II11" i="1" s="1"/>
  <c r="IP11" i="1" s="1"/>
  <c r="IJ13" i="1"/>
  <c r="IV13" i="1" s="1"/>
  <c r="HS13" i="1"/>
  <c r="HU13" i="1" s="1"/>
  <c r="KV15" i="1"/>
  <c r="EC12" i="1"/>
  <c r="IP13" i="1"/>
  <c r="KT20" i="1"/>
  <c r="JA12" i="1"/>
  <c r="LO12" i="1" s="1"/>
  <c r="LR12" i="1" s="1"/>
  <c r="JK14" i="1"/>
  <c r="HJ15" i="1"/>
  <c r="JI15" i="1"/>
  <c r="JJ15" i="1" s="1"/>
  <c r="JM15" i="1" s="1"/>
  <c r="KM16" i="1" s="1"/>
  <c r="KV16" i="1" s="1"/>
  <c r="IJ23" i="1"/>
  <c r="IV23" i="1" s="1"/>
  <c r="HS23" i="1"/>
  <c r="HU23" i="1" s="1"/>
  <c r="LR24" i="1"/>
  <c r="JV9" i="1"/>
  <c r="JK10" i="1"/>
  <c r="MP29" i="1"/>
  <c r="MQ29" i="1" s="1"/>
  <c r="MR29" i="1" s="1"/>
  <c r="JV20" i="1"/>
  <c r="JV13" i="1"/>
  <c r="HJ19" i="1"/>
  <c r="KV20" i="1"/>
  <c r="JI20" i="1"/>
  <c r="JJ20" i="1" s="1"/>
  <c r="JM20" i="1" s="1"/>
  <c r="KM21" i="1" s="1"/>
  <c r="KV21" i="1" s="1"/>
  <c r="JV17" i="1"/>
  <c r="JI18" i="1"/>
  <c r="JJ18" i="1" s="1"/>
  <c r="JM18" i="1" s="1"/>
  <c r="KM19" i="1" s="1"/>
  <c r="KV19" i="1" s="1"/>
  <c r="JK19" i="1"/>
  <c r="JV14" i="1"/>
  <c r="JI16" i="1"/>
  <c r="JJ16" i="1" s="1"/>
  <c r="JM16" i="1" s="1"/>
  <c r="KM17" i="1" s="1"/>
  <c r="KV17" i="1" s="1"/>
  <c r="JK20" i="1"/>
  <c r="HI16" i="1"/>
  <c r="II16" i="1" s="1"/>
  <c r="IP16" i="1" s="1"/>
  <c r="HI18" i="1"/>
  <c r="II18" i="1" s="1"/>
  <c r="IP18" i="1" s="1"/>
  <c r="JK18" i="1"/>
  <c r="HI20" i="1"/>
  <c r="II20" i="1" s="1"/>
  <c r="IP20" i="1" s="1"/>
  <c r="JK21" i="1"/>
  <c r="HJ21" i="1"/>
  <c r="FP25" i="1"/>
  <c r="FS22" i="1"/>
  <c r="JA22" i="1"/>
  <c r="LO22" i="1" s="1"/>
  <c r="JI13" i="1"/>
  <c r="JJ13" i="1" s="1"/>
  <c r="JM13" i="1" s="1"/>
  <c r="KM14" i="1" s="1"/>
  <c r="KV14" i="1" s="1"/>
  <c r="HJ16" i="1"/>
  <c r="JK16" i="1"/>
  <c r="IP17" i="1"/>
  <c r="KT18" i="1" s="1"/>
  <c r="HJ18" i="1"/>
  <c r="IJ20" i="1"/>
  <c r="IL20" i="1" s="1"/>
  <c r="JA21" i="1"/>
  <c r="LO21" i="1" s="1"/>
  <c r="LR21" i="1" s="1"/>
  <c r="HI14" i="1"/>
  <c r="II14" i="1" s="1"/>
  <c r="IP14" i="1" s="1"/>
  <c r="KT15" i="1" s="1"/>
  <c r="JA19" i="1"/>
  <c r="LO19" i="1" s="1"/>
  <c r="LR19" i="1" s="1"/>
  <c r="HI23" i="1"/>
  <c r="II23" i="1" s="1"/>
  <c r="IP23" i="1" s="1"/>
  <c r="JI23" i="1"/>
  <c r="JJ23" i="1" s="1"/>
  <c r="JM23" i="1" s="1"/>
  <c r="KM24" i="1" s="1"/>
  <c r="KV24" i="1" s="1"/>
  <c r="JV19" i="1"/>
  <c r="IB22" i="1"/>
  <c r="LL22" i="1" s="1"/>
  <c r="LR22" i="1" s="1"/>
  <c r="IP24" i="1"/>
  <c r="JI21" i="1"/>
  <c r="JJ21" i="1" s="1"/>
  <c r="JM21" i="1" s="1"/>
  <c r="KM22" i="1" s="1"/>
  <c r="KV22" i="1" s="1"/>
  <c r="FR25" i="1"/>
  <c r="HJ22" i="1"/>
  <c r="JI22" i="1"/>
  <c r="JJ22" i="1" s="1"/>
  <c r="JM22" i="1" s="1"/>
  <c r="KM23" i="1" s="1"/>
  <c r="KT23" i="1" s="1"/>
  <c r="JA23" i="1"/>
  <c r="LO23" i="1" s="1"/>
  <c r="LR23" i="1" s="1"/>
  <c r="JK24" i="1"/>
  <c r="FP36" i="1"/>
  <c r="GZ4" i="2"/>
  <c r="AS7" i="2"/>
  <c r="JI25" i="1"/>
  <c r="JJ25" i="1" s="1"/>
  <c r="JM25" i="1" s="1"/>
  <c r="KM26" i="1" s="1"/>
  <c r="KV26" i="1" s="1"/>
  <c r="KE25" i="1"/>
  <c r="FR36" i="1"/>
  <c r="GZ28" i="2"/>
  <c r="IS28" i="2" s="1"/>
  <c r="GZ13" i="2"/>
  <c r="IS13" i="2" s="1"/>
  <c r="GZ12" i="2"/>
  <c r="GZ21" i="2"/>
  <c r="GZ10" i="2"/>
  <c r="IS10" i="2" s="1"/>
  <c r="GZ8" i="2"/>
  <c r="DW8" i="2"/>
  <c r="JK22" i="1"/>
  <c r="HJ24" i="1"/>
  <c r="JK25" i="1"/>
  <c r="FP32" i="1"/>
  <c r="FS32" i="1" s="1"/>
  <c r="JV24" i="1"/>
  <c r="AU5" i="2"/>
  <c r="IJ25" i="1"/>
  <c r="IN25" i="1" s="1"/>
  <c r="HS25" i="1"/>
  <c r="HU25" i="1" s="1"/>
  <c r="JV25" i="1"/>
  <c r="EG7" i="2"/>
  <c r="EH7" i="2" s="1"/>
  <c r="N29" i="2"/>
  <c r="AU6" i="2"/>
  <c r="GZ16" i="2"/>
  <c r="IS16" i="2" s="1"/>
  <c r="IV16" i="2" s="1"/>
  <c r="HI25" i="1"/>
  <c r="II25" i="1" s="1"/>
  <c r="IP25" i="1" s="1"/>
  <c r="IC4" i="2"/>
  <c r="MF34" i="1"/>
  <c r="MI27" i="1" s="1"/>
  <c r="GZ5" i="2"/>
  <c r="IS5" i="2" s="1"/>
  <c r="AS10" i="2"/>
  <c r="JV22" i="1"/>
  <c r="AU4" i="2"/>
  <c r="DW5" i="2"/>
  <c r="GZ6" i="2"/>
  <c r="IS6" i="2" s="1"/>
  <c r="DW15" i="2"/>
  <c r="GZ15" i="2"/>
  <c r="JI24" i="1"/>
  <c r="JJ24" i="1" s="1"/>
  <c r="JM24" i="1" s="1"/>
  <c r="KM25" i="1" s="1"/>
  <c r="KV25" i="1" s="1"/>
  <c r="JA25" i="1"/>
  <c r="LO25" i="1" s="1"/>
  <c r="LR25" i="1" s="1"/>
  <c r="HS29" i="2"/>
  <c r="IK4" i="2" s="1"/>
  <c r="AU9" i="2"/>
  <c r="GZ7" i="2"/>
  <c r="IV25" i="1"/>
  <c r="AU8" i="2"/>
  <c r="GZ14" i="2"/>
  <c r="IS14" i="2" s="1"/>
  <c r="IV14" i="2" s="1"/>
  <c r="AU19" i="2"/>
  <c r="AS12" i="2"/>
  <c r="HT25" i="2"/>
  <c r="IT25" i="2"/>
  <c r="AT29" i="2"/>
  <c r="AS13" i="2"/>
  <c r="AU15" i="2"/>
  <c r="AU11" i="2"/>
  <c r="O15" i="2"/>
  <c r="GZ9" i="2"/>
  <c r="GZ18" i="2"/>
  <c r="IS18" i="2" s="1"/>
  <c r="AU16" i="2"/>
  <c r="DW9" i="2"/>
  <c r="AS14" i="2"/>
  <c r="AU14" i="2" s="1"/>
  <c r="GZ20" i="2"/>
  <c r="IS20" i="2" s="1"/>
  <c r="IY24" i="2"/>
  <c r="JB24" i="2" s="1"/>
  <c r="GZ17" i="2"/>
  <c r="IS17" i="2" s="1"/>
  <c r="IV17" i="2" s="1"/>
  <c r="GZ19" i="2"/>
  <c r="DW19" i="2"/>
  <c r="GZ26" i="2"/>
  <c r="DW26" i="2"/>
  <c r="AS22" i="2"/>
  <c r="AU20" i="2"/>
  <c r="O21" i="2"/>
  <c r="O22" i="2"/>
  <c r="GZ11" i="2"/>
  <c r="DW18" i="2"/>
  <c r="DW27" i="2"/>
  <c r="AU27" i="2"/>
  <c r="DW16" i="2"/>
  <c r="AS21" i="2"/>
  <c r="DW23" i="2"/>
  <c r="AU17" i="2"/>
  <c r="AU18" i="2"/>
  <c r="GZ22" i="2"/>
  <c r="O27" i="2"/>
  <c r="HT24" i="2"/>
  <c r="HW24" i="2" s="1"/>
  <c r="GP25" i="2"/>
  <c r="DW25" i="2"/>
  <c r="GN25" i="2"/>
  <c r="GO25" i="2"/>
  <c r="GJ25" i="2"/>
  <c r="GI25" i="2"/>
  <c r="GZ25" i="2"/>
  <c r="IS25" i="2" s="1"/>
  <c r="O24" i="2"/>
  <c r="AS24" i="2"/>
  <c r="DW20" i="2"/>
  <c r="O28" i="2"/>
  <c r="GZ23" i="2"/>
  <c r="GZ24" i="2"/>
  <c r="IS24" i="2" s="1"/>
  <c r="GZ27" i="2"/>
  <c r="IS27" i="2" s="1"/>
  <c r="DR25" i="2"/>
  <c r="GL25" i="2" s="1"/>
  <c r="AU28" i="2"/>
  <c r="CQ25" i="2"/>
  <c r="GK25" i="2" s="1"/>
  <c r="AS26" i="2"/>
  <c r="AU26" i="2" s="1"/>
  <c r="EH6" i="2" l="1"/>
  <c r="P11" i="1"/>
  <c r="EH4" i="2"/>
  <c r="EH5" i="2"/>
  <c r="IT17" i="1"/>
  <c r="IZ20" i="1"/>
  <c r="MP11" i="1"/>
  <c r="MQ11" i="1" s="1"/>
  <c r="MR11" i="1" s="1"/>
  <c r="KT17" i="1"/>
  <c r="HV24" i="2"/>
  <c r="KT12" i="1"/>
  <c r="IL17" i="1"/>
  <c r="KE21" i="1"/>
  <c r="IT20" i="1"/>
  <c r="IL23" i="1"/>
  <c r="KT16" i="1"/>
  <c r="KE19" i="1"/>
  <c r="KT22" i="1"/>
  <c r="FS36" i="1"/>
  <c r="KE22" i="1"/>
  <c r="KE23" i="1"/>
  <c r="KE24" i="1"/>
  <c r="KT24" i="1"/>
  <c r="KE7" i="1"/>
  <c r="IX23" i="1"/>
  <c r="KT8" i="1"/>
  <c r="KE6" i="1"/>
  <c r="KE8" i="1"/>
  <c r="KE18" i="1"/>
  <c r="MI26" i="1"/>
  <c r="HB24" i="2"/>
  <c r="IL12" i="1"/>
  <c r="FR37" i="1"/>
  <c r="IX20" i="1"/>
  <c r="KE13" i="1"/>
  <c r="IN11" i="1"/>
  <c r="KT21" i="1"/>
  <c r="IV20" i="1"/>
  <c r="IS19" i="2"/>
  <c r="IS8" i="2"/>
  <c r="IS26" i="2"/>
  <c r="IV26" i="2" s="1"/>
  <c r="GM25" i="2"/>
  <c r="IS22" i="2"/>
  <c r="HV25" i="2"/>
  <c r="HW25" i="2"/>
  <c r="IS15" i="2"/>
  <c r="JI29" i="2"/>
  <c r="O11" i="2"/>
  <c r="IS7" i="2"/>
  <c r="FS25" i="1"/>
  <c r="MI29" i="1"/>
  <c r="IB26" i="1"/>
  <c r="F24" i="1"/>
  <c r="AJ8" i="1" s="1"/>
  <c r="HS8" i="1"/>
  <c r="HU8" i="1" s="1"/>
  <c r="IJ8" i="1"/>
  <c r="HY27" i="1"/>
  <c r="K9" i="1"/>
  <c r="KE16" i="1"/>
  <c r="JX10" i="1"/>
  <c r="IC10" i="1"/>
  <c r="LM10" i="1" s="1"/>
  <c r="H24" i="1"/>
  <c r="AI12" i="1" s="1"/>
  <c r="IS11" i="2"/>
  <c r="AU22" i="2"/>
  <c r="F8" i="1"/>
  <c r="F19" i="1"/>
  <c r="FP3" i="1"/>
  <c r="GD3" i="1" s="1"/>
  <c r="GQ3" i="1" s="1"/>
  <c r="EY3" i="1"/>
  <c r="KF6" i="1"/>
  <c r="J15" i="1"/>
  <c r="HV4" i="1"/>
  <c r="HX4" i="1" s="1"/>
  <c r="HZ4" i="1" s="1"/>
  <c r="IY4" i="1"/>
  <c r="CI15" i="1"/>
  <c r="CL15" i="1" s="1"/>
  <c r="CM15" i="1" s="1"/>
  <c r="AJ9" i="1"/>
  <c r="O10" i="2"/>
  <c r="O8" i="2"/>
  <c r="AU12" i="2"/>
  <c r="IZ25" i="1"/>
  <c r="O6" i="2"/>
  <c r="KA26" i="1"/>
  <c r="KA6" i="1" s="1"/>
  <c r="IS21" i="2"/>
  <c r="HS21" i="1"/>
  <c r="HU21" i="1" s="1"/>
  <c r="IJ21" i="1"/>
  <c r="H19" i="1"/>
  <c r="H14" i="1"/>
  <c r="JX7" i="1"/>
  <c r="IC7" i="1"/>
  <c r="LM7" i="1" s="1"/>
  <c r="IT13" i="1"/>
  <c r="IX13" i="1"/>
  <c r="IL13" i="1"/>
  <c r="JI26" i="1"/>
  <c r="K25" i="1" s="1"/>
  <c r="JM6" i="1"/>
  <c r="KM7" i="1" s="1"/>
  <c r="KV7" i="1" s="1"/>
  <c r="KV27" i="1" s="1"/>
  <c r="JJ24" i="2"/>
  <c r="IZ24" i="2"/>
  <c r="IL25" i="1"/>
  <c r="KT25" i="1"/>
  <c r="IJ18" i="1"/>
  <c r="HS18" i="1"/>
  <c r="HU18" i="1" s="1"/>
  <c r="IJ19" i="1"/>
  <c r="HS19" i="1"/>
  <c r="HU19" i="1" s="1"/>
  <c r="IC23" i="1"/>
  <c r="LM23" i="1" s="1"/>
  <c r="JX23" i="1"/>
  <c r="IJ9" i="1"/>
  <c r="HS9" i="1"/>
  <c r="HU9" i="1" s="1"/>
  <c r="KV23" i="1"/>
  <c r="KZ4" i="1"/>
  <c r="LB4" i="1"/>
  <c r="GQ29" i="2"/>
  <c r="IS12" i="2"/>
  <c r="AU7" i="2"/>
  <c r="JL21" i="1"/>
  <c r="JN21" i="1" s="1"/>
  <c r="KN22" i="1" s="1"/>
  <c r="IZ23" i="1"/>
  <c r="IN23" i="1"/>
  <c r="H8" i="1"/>
  <c r="IV6" i="1"/>
  <c r="IZ6" i="1"/>
  <c r="IX6" i="1"/>
  <c r="JX12" i="1"/>
  <c r="IC12" i="1"/>
  <c r="LM12" i="1" s="1"/>
  <c r="JK26" i="1"/>
  <c r="JN26" i="1" s="1"/>
  <c r="JL24" i="1" s="1"/>
  <c r="JN24" i="1" s="1"/>
  <c r="KN25" i="1" s="1"/>
  <c r="G17" i="1"/>
  <c r="CJ16" i="1" s="1"/>
  <c r="CK16" i="1" s="1"/>
  <c r="CI16" i="1"/>
  <c r="CL16" i="1" s="1"/>
  <c r="CM16" i="1" s="1"/>
  <c r="J16" i="1"/>
  <c r="JB10" i="1"/>
  <c r="IZ11" i="1"/>
  <c r="MP34" i="1"/>
  <c r="MI34" i="1"/>
  <c r="MI11" i="1" s="1"/>
  <c r="MG27" i="1"/>
  <c r="MG26" i="1"/>
  <c r="MG11" i="1"/>
  <c r="HS22" i="1"/>
  <c r="HU22" i="1" s="1"/>
  <c r="IJ22" i="1"/>
  <c r="GW9" i="1"/>
  <c r="GX7" i="1"/>
  <c r="IV12" i="1"/>
  <c r="IT12" i="1"/>
  <c r="IN12" i="1"/>
  <c r="IZ12" i="1"/>
  <c r="IT6" i="1"/>
  <c r="JX17" i="1"/>
  <c r="IC17" i="1"/>
  <c r="LM17" i="1" s="1"/>
  <c r="KU28" i="1"/>
  <c r="IR27" i="1"/>
  <c r="K17" i="1"/>
  <c r="F10" i="1"/>
  <c r="F7" i="1" s="1"/>
  <c r="IJ4" i="2"/>
  <c r="IU24" i="2" s="1"/>
  <c r="JX25" i="1"/>
  <c r="IC25" i="1"/>
  <c r="LM25" i="1" s="1"/>
  <c r="KC26" i="1"/>
  <c r="KC12" i="1" s="1"/>
  <c r="GZ29" i="2"/>
  <c r="IS4" i="2"/>
  <c r="JL16" i="1"/>
  <c r="JN16" i="1" s="1"/>
  <c r="KN17" i="1" s="1"/>
  <c r="IT23" i="1"/>
  <c r="MG29" i="1"/>
  <c r="IT14" i="1"/>
  <c r="FS20" i="1"/>
  <c r="FP37" i="1"/>
  <c r="JJ26" i="1"/>
  <c r="FF9" i="1"/>
  <c r="FH6" i="1" s="1"/>
  <c r="KF20" i="1"/>
  <c r="IX17" i="1"/>
  <c r="IV17" i="1"/>
  <c r="IN20" i="1"/>
  <c r="IS23" i="2"/>
  <c r="IV23" i="2" s="1"/>
  <c r="O18" i="2"/>
  <c r="HS24" i="1"/>
  <c r="HU24" i="1" s="1"/>
  <c r="IJ24" i="1"/>
  <c r="IJ16" i="1"/>
  <c r="HS16" i="1"/>
  <c r="HU16" i="1" s="1"/>
  <c r="KT14" i="1"/>
  <c r="AI13" i="1"/>
  <c r="JA26" i="1"/>
  <c r="AH13" i="1"/>
  <c r="CV9" i="1"/>
  <c r="IZ13" i="1"/>
  <c r="IA27" i="1"/>
  <c r="JB7" i="1"/>
  <c r="AU13" i="2"/>
  <c r="AU10" i="2"/>
  <c r="KT26" i="1"/>
  <c r="IX25" i="1"/>
  <c r="IP26" i="1"/>
  <c r="IC11" i="1"/>
  <c r="LM11" i="1" s="1"/>
  <c r="JX11" i="1"/>
  <c r="JX14" i="1"/>
  <c r="IC14" i="1"/>
  <c r="LM14" i="1" s="1"/>
  <c r="IB4" i="2"/>
  <c r="ID4" i="2" s="1"/>
  <c r="HJ26" i="1"/>
  <c r="K24" i="1"/>
  <c r="KE12" i="1"/>
  <c r="KE15" i="1"/>
  <c r="KE14" i="1"/>
  <c r="KE17" i="1"/>
  <c r="KE9" i="1"/>
  <c r="KE10" i="1"/>
  <c r="IN17" i="1"/>
  <c r="H18" i="1"/>
  <c r="CI14" i="1"/>
  <c r="CL14" i="1" s="1"/>
  <c r="CM14" i="1" s="1"/>
  <c r="AI9" i="1"/>
  <c r="IS9" i="2"/>
  <c r="L29" i="2"/>
  <c r="M6" i="2" s="1"/>
  <c r="IJ15" i="1"/>
  <c r="HS15" i="1"/>
  <c r="HU15" i="1" s="1"/>
  <c r="IN13" i="1"/>
  <c r="LO26" i="1"/>
  <c r="IT11" i="1"/>
  <c r="IX11" i="1"/>
  <c r="IL11" i="1"/>
  <c r="IX14" i="1"/>
  <c r="IL14" i="1"/>
  <c r="IV14" i="1"/>
  <c r="J17" i="1"/>
  <c r="AA12" i="1"/>
  <c r="H10" i="1"/>
  <c r="IZ14" i="1"/>
  <c r="GS9" i="1"/>
  <c r="GT9" i="1" s="1"/>
  <c r="AU21" i="2"/>
  <c r="AU23" i="2"/>
  <c r="O13" i="2"/>
  <c r="HB25" i="2"/>
  <c r="O7" i="2"/>
  <c r="GB24" i="2"/>
  <c r="GP24" i="2" s="1"/>
  <c r="FM24" i="2"/>
  <c r="GO24" i="2" s="1"/>
  <c r="EA24" i="2"/>
  <c r="GM24" i="2" s="1"/>
  <c r="AZ24" i="2"/>
  <c r="GI24" i="2" s="1"/>
  <c r="EX24" i="2"/>
  <c r="GN24" i="2" s="1"/>
  <c r="AU24" i="2"/>
  <c r="BS24" i="2"/>
  <c r="GJ24" i="2" s="1"/>
  <c r="DR24" i="2"/>
  <c r="GL24" i="2" s="1"/>
  <c r="CQ24" i="2"/>
  <c r="GK24" i="2" s="1"/>
  <c r="IY25" i="2"/>
  <c r="JB25" i="2" s="1"/>
  <c r="O14" i="2"/>
  <c r="KT19" i="1"/>
  <c r="KE20" i="1"/>
  <c r="IC13" i="1"/>
  <c r="LM13" i="1" s="1"/>
  <c r="JX13" i="1"/>
  <c r="IN6" i="1"/>
  <c r="LL26" i="1"/>
  <c r="LR6" i="1"/>
  <c r="F18" i="1"/>
  <c r="IU18" i="2" l="1"/>
  <c r="IW18" i="2" s="1"/>
  <c r="IU28" i="2"/>
  <c r="IW28" i="2" s="1"/>
  <c r="KC17" i="1"/>
  <c r="JL14" i="1"/>
  <c r="JN14" i="1" s="1"/>
  <c r="KN15" i="1" s="1"/>
  <c r="KR15" i="1" s="1"/>
  <c r="JL10" i="1"/>
  <c r="JN10" i="1" s="1"/>
  <c r="KN11" i="1" s="1"/>
  <c r="I16" i="1"/>
  <c r="G15" i="1"/>
  <c r="CJ14" i="1" s="1"/>
  <c r="CK14" i="1" s="1"/>
  <c r="JL6" i="1"/>
  <c r="JN6" i="1" s="1"/>
  <c r="KN7" i="1" s="1"/>
  <c r="KP7" i="1" s="1"/>
  <c r="JL20" i="1"/>
  <c r="JN20" i="1" s="1"/>
  <c r="KN21" i="1" s="1"/>
  <c r="KZ21" i="1" s="1"/>
  <c r="AA8" i="1"/>
  <c r="JL22" i="1"/>
  <c r="JN22" i="1" s="1"/>
  <c r="KN23" i="1" s="1"/>
  <c r="JL18" i="1"/>
  <c r="JN18" i="1" s="1"/>
  <c r="KN19" i="1" s="1"/>
  <c r="IU5" i="2"/>
  <c r="IW5" i="2" s="1"/>
  <c r="JL19" i="1"/>
  <c r="JN19" i="1" s="1"/>
  <c r="KN20" i="1" s="1"/>
  <c r="AI8" i="1"/>
  <c r="JL8" i="1"/>
  <c r="JN8" i="1" s="1"/>
  <c r="KN9" i="1" s="1"/>
  <c r="KA23" i="1"/>
  <c r="KA12" i="1"/>
  <c r="AH12" i="1"/>
  <c r="KX15" i="1"/>
  <c r="JB23" i="1"/>
  <c r="I15" i="1"/>
  <c r="AA11" i="1"/>
  <c r="KT7" i="1"/>
  <c r="KA15" i="1"/>
  <c r="KC11" i="1"/>
  <c r="KA18" i="1"/>
  <c r="KA17" i="1"/>
  <c r="I17" i="1"/>
  <c r="KA14" i="1"/>
  <c r="KC23" i="1"/>
  <c r="KA9" i="1"/>
  <c r="KA8" i="1"/>
  <c r="AJ12" i="1"/>
  <c r="JL25" i="1"/>
  <c r="JN25" i="1" s="1"/>
  <c r="KN26" i="1" s="1"/>
  <c r="KX26" i="1" s="1"/>
  <c r="AH8" i="1"/>
  <c r="KP11" i="1"/>
  <c r="IU27" i="2"/>
  <c r="IW27" i="2" s="1"/>
  <c r="IV28" i="2"/>
  <c r="IU20" i="2"/>
  <c r="IW20" i="2" s="1"/>
  <c r="KX21" i="1"/>
  <c r="KZ15" i="1"/>
  <c r="G16" i="1"/>
  <c r="CJ15" i="1" s="1"/>
  <c r="CK15" i="1" s="1"/>
  <c r="LB21" i="1"/>
  <c r="LD21" i="1"/>
  <c r="JB6" i="1"/>
  <c r="LP6" i="1" s="1"/>
  <c r="KR21" i="1"/>
  <c r="KC14" i="1"/>
  <c r="LD15" i="1"/>
  <c r="JB12" i="1"/>
  <c r="LE13" i="1" s="1"/>
  <c r="KC8" i="1"/>
  <c r="BP6" i="2"/>
  <c r="CK6" i="2"/>
  <c r="DN6" i="2"/>
  <c r="ET6" i="2"/>
  <c r="F9" i="1"/>
  <c r="G7" i="1"/>
  <c r="CJ7" i="1" s="1"/>
  <c r="CK7" i="1" s="1"/>
  <c r="CI7" i="1"/>
  <c r="CL7" i="1" s="1"/>
  <c r="CM7" i="1" s="1"/>
  <c r="IW24" i="2"/>
  <c r="IV24" i="2"/>
  <c r="JA24" i="2" s="1"/>
  <c r="KF25" i="1"/>
  <c r="IC9" i="1"/>
  <c r="LM9" i="1" s="1"/>
  <c r="JX9" i="1"/>
  <c r="JB25" i="1"/>
  <c r="JB20" i="1"/>
  <c r="KF10" i="1"/>
  <c r="IU22" i="2"/>
  <c r="IW22" i="2" s="1"/>
  <c r="KC15" i="1"/>
  <c r="HS26" i="1"/>
  <c r="IJ26" i="1"/>
  <c r="LB26" i="1"/>
  <c r="LE8" i="1"/>
  <c r="LP7" i="1"/>
  <c r="LS7" i="1" s="1"/>
  <c r="JC7" i="1"/>
  <c r="KC21" i="1"/>
  <c r="H7" i="1"/>
  <c r="JC10" i="1"/>
  <c r="LP10" i="1"/>
  <c r="LE11" i="1"/>
  <c r="IU12" i="2"/>
  <c r="IW12" i="2" s="1"/>
  <c r="IT9" i="1"/>
  <c r="IX9" i="1"/>
  <c r="IZ9" i="1"/>
  <c r="IL9" i="1"/>
  <c r="IV9" i="1"/>
  <c r="IN9" i="1"/>
  <c r="KP21" i="1"/>
  <c r="IU25" i="2"/>
  <c r="KF23" i="1"/>
  <c r="KF7" i="1"/>
  <c r="L9" i="1"/>
  <c r="K7" i="1"/>
  <c r="JB17" i="1"/>
  <c r="KC6" i="1"/>
  <c r="GX9" i="1"/>
  <c r="M7" i="2"/>
  <c r="KZ7" i="1"/>
  <c r="IC19" i="1"/>
  <c r="LM19" i="1" s="1"/>
  <c r="JX19" i="1"/>
  <c r="IU21" i="2"/>
  <c r="IW21" i="2" s="1"/>
  <c r="IU7" i="2"/>
  <c r="IW7" i="2" s="1"/>
  <c r="IU8" i="2"/>
  <c r="IW8" i="2" s="1"/>
  <c r="LB7" i="1"/>
  <c r="KZ26" i="1"/>
  <c r="IV15" i="1"/>
  <c r="IT15" i="1"/>
  <c r="IN15" i="1"/>
  <c r="IX15" i="1"/>
  <c r="IZ15" i="1"/>
  <c r="IL15" i="1"/>
  <c r="KF14" i="1"/>
  <c r="FG6" i="1"/>
  <c r="FI6" i="1" s="1"/>
  <c r="KF17" i="1"/>
  <c r="J8" i="1"/>
  <c r="I8" i="1"/>
  <c r="M8" i="1"/>
  <c r="IX19" i="1"/>
  <c r="IL19" i="1"/>
  <c r="IV19" i="1"/>
  <c r="IT19" i="1"/>
  <c r="KX20" i="1" s="1"/>
  <c r="IZ19" i="1"/>
  <c r="LD20" i="1" s="1"/>
  <c r="IN19" i="1"/>
  <c r="KV28" i="1"/>
  <c r="N17" i="1"/>
  <c r="H21" i="1"/>
  <c r="I14" i="1"/>
  <c r="M8" i="2"/>
  <c r="M11" i="2"/>
  <c r="KF11" i="1"/>
  <c r="M18" i="2"/>
  <c r="KX7" i="1"/>
  <c r="IX22" i="1"/>
  <c r="LB23" i="1" s="1"/>
  <c r="IL22" i="1"/>
  <c r="IZ22" i="1"/>
  <c r="IV22" i="1"/>
  <c r="KZ23" i="1" s="1"/>
  <c r="IT22" i="1"/>
  <c r="IN22" i="1"/>
  <c r="IU6" i="2"/>
  <c r="IC18" i="1"/>
  <c r="LM18" i="1" s="1"/>
  <c r="JX18" i="1"/>
  <c r="IZ8" i="1"/>
  <c r="LD9" i="1" s="1"/>
  <c r="IN8" i="1"/>
  <c r="KR9" i="1" s="1"/>
  <c r="IV8" i="1"/>
  <c r="KZ9" i="1" s="1"/>
  <c r="IT8" i="1"/>
  <c r="KX9" i="1" s="1"/>
  <c r="IL8" i="1"/>
  <c r="IX8" i="1"/>
  <c r="LB9" i="1" s="1"/>
  <c r="L11" i="1"/>
  <c r="L8" i="1"/>
  <c r="LE24" i="1"/>
  <c r="JC23" i="1"/>
  <c r="LP23" i="1"/>
  <c r="LS23" i="1" s="1"/>
  <c r="IU9" i="2"/>
  <c r="IW9" i="2" s="1"/>
  <c r="KC27" i="1"/>
  <c r="N9" i="1"/>
  <c r="KC18" i="1"/>
  <c r="KC20" i="1"/>
  <c r="KC16" i="1"/>
  <c r="KC9" i="1"/>
  <c r="KC19" i="1"/>
  <c r="KC25" i="1"/>
  <c r="JX22" i="1"/>
  <c r="IC22" i="1"/>
  <c r="LM22" i="1" s="1"/>
  <c r="KA4" i="1"/>
  <c r="KC4" i="1" s="1"/>
  <c r="LD4" i="1"/>
  <c r="IT18" i="1"/>
  <c r="KX19" i="1" s="1"/>
  <c r="IN18" i="1"/>
  <c r="KR19" i="1" s="1"/>
  <c r="IX18" i="1"/>
  <c r="LB19" i="1" s="1"/>
  <c r="IZ18" i="1"/>
  <c r="LD19" i="1" s="1"/>
  <c r="IL18" i="1"/>
  <c r="IV18" i="1"/>
  <c r="KZ19" i="1" s="1"/>
  <c r="JB13" i="1"/>
  <c r="M10" i="2"/>
  <c r="G19" i="1"/>
  <c r="IU11" i="2"/>
  <c r="IW11" i="2" s="1"/>
  <c r="JX8" i="1"/>
  <c r="IC8" i="1"/>
  <c r="LM8" i="1" s="1"/>
  <c r="HU26" i="1"/>
  <c r="LR26" i="1"/>
  <c r="JX15" i="1"/>
  <c r="IC15" i="1"/>
  <c r="LM15" i="1" s="1"/>
  <c r="IS29" i="2"/>
  <c r="IU4" i="2"/>
  <c r="F14" i="1"/>
  <c r="J14" i="1" s="1"/>
  <c r="FH7" i="1"/>
  <c r="FG7" i="1"/>
  <c r="FH8" i="1"/>
  <c r="FG8" i="1"/>
  <c r="KC7" i="1"/>
  <c r="KT27" i="1"/>
  <c r="IN16" i="1"/>
  <c r="KR17" i="1" s="1"/>
  <c r="IL16" i="1"/>
  <c r="IV16" i="1"/>
  <c r="KZ17" i="1" s="1"/>
  <c r="IX16" i="1"/>
  <c r="LB17" i="1" s="1"/>
  <c r="IZ16" i="1"/>
  <c r="LD17" i="1" s="1"/>
  <c r="IT16" i="1"/>
  <c r="KX17" i="1" s="1"/>
  <c r="JM26" i="1"/>
  <c r="KM27" i="1" s="1"/>
  <c r="MF35" i="1"/>
  <c r="N25" i="1"/>
  <c r="KZ11" i="1"/>
  <c r="IU13" i="2"/>
  <c r="I19" i="1"/>
  <c r="J19" i="1"/>
  <c r="KA27" i="1"/>
  <c r="N8" i="1"/>
  <c r="KA25" i="1"/>
  <c r="KA19" i="1"/>
  <c r="KA20" i="1"/>
  <c r="KA22" i="1"/>
  <c r="KA13" i="1"/>
  <c r="KA11" i="1"/>
  <c r="KA10" i="1"/>
  <c r="KA21" i="1"/>
  <c r="KA16" i="1"/>
  <c r="KA24" i="1"/>
  <c r="KA7" i="1"/>
  <c r="IU10" i="2"/>
  <c r="LD7" i="1"/>
  <c r="JX16" i="1"/>
  <c r="IC16" i="1"/>
  <c r="LM16" i="1" s="1"/>
  <c r="M14" i="2"/>
  <c r="JB14" i="1"/>
  <c r="KP15" i="1"/>
  <c r="KC22" i="1"/>
  <c r="KS28" i="1"/>
  <c r="IP27" i="1"/>
  <c r="AJ15" i="1" s="1"/>
  <c r="AJ17" i="1" s="1"/>
  <c r="K16" i="1"/>
  <c r="IL24" i="1"/>
  <c r="IV24" i="1"/>
  <c r="KZ25" i="1" s="1"/>
  <c r="IT24" i="1"/>
  <c r="KX25" i="1" s="1"/>
  <c r="IZ24" i="1"/>
  <c r="LD25" i="1" s="1"/>
  <c r="IX24" i="1"/>
  <c r="LB25" i="1" s="1"/>
  <c r="IN24" i="1"/>
  <c r="KR25" i="1" s="1"/>
  <c r="FS37" i="1"/>
  <c r="KR11" i="1"/>
  <c r="KN27" i="1"/>
  <c r="JL23" i="1"/>
  <c r="JN23" i="1" s="1"/>
  <c r="JL11" i="1"/>
  <c r="JN11" i="1" s="1"/>
  <c r="KN12" i="1" s="1"/>
  <c r="JL13" i="1"/>
  <c r="JN13" i="1" s="1"/>
  <c r="KN14" i="1" s="1"/>
  <c r="KZ14" i="1" s="1"/>
  <c r="JL7" i="1"/>
  <c r="JN7" i="1" s="1"/>
  <c r="JL9" i="1"/>
  <c r="JN9" i="1" s="1"/>
  <c r="KN10" i="1" s="1"/>
  <c r="JL15" i="1"/>
  <c r="JN15" i="1" s="1"/>
  <c r="KN16" i="1" s="1"/>
  <c r="JL12" i="1"/>
  <c r="JN12" i="1" s="1"/>
  <c r="JL17" i="1"/>
  <c r="JN17" i="1" s="1"/>
  <c r="KC10" i="1"/>
  <c r="CI8" i="1"/>
  <c r="CL8" i="1" s="1"/>
  <c r="CM8" i="1" s="1"/>
  <c r="G8" i="1"/>
  <c r="CJ8" i="1" s="1"/>
  <c r="CK8" i="1" s="1"/>
  <c r="CI22" i="1"/>
  <c r="CL22" i="1" s="1"/>
  <c r="CM22" i="1" s="1"/>
  <c r="G11" i="1"/>
  <c r="R11" i="1" s="1"/>
  <c r="X8" i="1"/>
  <c r="R24" i="1"/>
  <c r="Y8" i="1"/>
  <c r="Q24" i="1"/>
  <c r="Z8" i="1"/>
  <c r="IU15" i="2"/>
  <c r="IW15" i="2" s="1"/>
  <c r="IU19" i="2"/>
  <c r="IW19" i="2" s="1"/>
  <c r="J10" i="1"/>
  <c r="I10" i="1"/>
  <c r="J18" i="1"/>
  <c r="I18" i="1"/>
  <c r="M17" i="1"/>
  <c r="L17" i="1"/>
  <c r="M20" i="2"/>
  <c r="M24" i="2"/>
  <c r="M16" i="2"/>
  <c r="M19" i="2"/>
  <c r="M4" i="2"/>
  <c r="M5" i="2"/>
  <c r="M27" i="2"/>
  <c r="M15" i="2"/>
  <c r="M21" i="2"/>
  <c r="M25" i="2"/>
  <c r="M17" i="2"/>
  <c r="M23" i="2"/>
  <c r="M26" i="2"/>
  <c r="M9" i="2"/>
  <c r="M22" i="2"/>
  <c r="M28" i="2"/>
  <c r="M12" i="2"/>
  <c r="IV18" i="2"/>
  <c r="KR7" i="1"/>
  <c r="M13" i="2"/>
  <c r="KF13" i="1"/>
  <c r="G18" i="1"/>
  <c r="CI17" i="1"/>
  <c r="CL17" i="1" s="1"/>
  <c r="CM17" i="1" s="1"/>
  <c r="IZ25" i="2"/>
  <c r="JJ25" i="2"/>
  <c r="LB15" i="1"/>
  <c r="KC13" i="1"/>
  <c r="KC24" i="1"/>
  <c r="IC24" i="1"/>
  <c r="LM24" i="1" s="1"/>
  <c r="JX24" i="1"/>
  <c r="LD11" i="1"/>
  <c r="G10" i="1"/>
  <c r="CJ10" i="1" s="1"/>
  <c r="CK10" i="1" s="1"/>
  <c r="CI10" i="1"/>
  <c r="CL10" i="1" s="1"/>
  <c r="CM10" i="1" s="1"/>
  <c r="IX21" i="1"/>
  <c r="LB22" i="1" s="1"/>
  <c r="IL21" i="1"/>
  <c r="IV21" i="1"/>
  <c r="KZ22" i="1" s="1"/>
  <c r="IZ21" i="1"/>
  <c r="LD22" i="1" s="1"/>
  <c r="IN21" i="1"/>
  <c r="KR22" i="1" s="1"/>
  <c r="IT21" i="1"/>
  <c r="KX22" i="1" s="1"/>
  <c r="O29" i="2"/>
  <c r="P11" i="2" s="1"/>
  <c r="I20" i="1"/>
  <c r="I11" i="1"/>
  <c r="Z11" i="1"/>
  <c r="Y11" i="1"/>
  <c r="X11" i="1"/>
  <c r="AU29" i="2"/>
  <c r="AL7" i="2" s="1"/>
  <c r="AS29" i="2" s="1"/>
  <c r="JB11" i="1"/>
  <c r="KF12" i="1"/>
  <c r="JM24" i="2"/>
  <c r="JL24" i="2"/>
  <c r="IC21" i="1"/>
  <c r="LM21" i="1" s="1"/>
  <c r="JX21" i="1"/>
  <c r="LD26" i="1"/>
  <c r="LS10" i="1"/>
  <c r="P10" i="2" l="1"/>
  <c r="IV5" i="2"/>
  <c r="KZ20" i="1"/>
  <c r="KR16" i="1"/>
  <c r="KR23" i="1"/>
  <c r="LB11" i="1"/>
  <c r="KX11" i="1"/>
  <c r="LF11" i="1" s="1"/>
  <c r="LD23" i="1"/>
  <c r="LF21" i="1"/>
  <c r="LQ20" i="1" s="1"/>
  <c r="KR20" i="1"/>
  <c r="LB20" i="1"/>
  <c r="IV12" i="2"/>
  <c r="KX23" i="1"/>
  <c r="IV27" i="2"/>
  <c r="JX26" i="1"/>
  <c r="LP12" i="1"/>
  <c r="LS12" i="1" s="1"/>
  <c r="JC12" i="1"/>
  <c r="KR26" i="1"/>
  <c r="KP26" i="1"/>
  <c r="IV20" i="2"/>
  <c r="LB16" i="1"/>
  <c r="IV9" i="2"/>
  <c r="KX16" i="1"/>
  <c r="KX10" i="1"/>
  <c r="LE7" i="1"/>
  <c r="IN26" i="1"/>
  <c r="KQ28" i="1" s="1"/>
  <c r="JC6" i="1"/>
  <c r="IV21" i="2"/>
  <c r="DL11" i="2"/>
  <c r="CM11" i="2"/>
  <c r="DY11" i="2"/>
  <c r="KF26" i="1"/>
  <c r="ET27" i="2"/>
  <c r="CK27" i="2"/>
  <c r="BP27" i="2"/>
  <c r="DN27" i="2"/>
  <c r="KZ12" i="1"/>
  <c r="KR12" i="1"/>
  <c r="ET14" i="2"/>
  <c r="CK14" i="2"/>
  <c r="DN14" i="2"/>
  <c r="BP14" i="2"/>
  <c r="DL10" i="2"/>
  <c r="CM10" i="2"/>
  <c r="DY10" i="2"/>
  <c r="FI7" i="1"/>
  <c r="KR14" i="1"/>
  <c r="KP20" i="1"/>
  <c r="LF20" i="1" s="1"/>
  <c r="JB19" i="1"/>
  <c r="LD16" i="1"/>
  <c r="IV7" i="2"/>
  <c r="CI9" i="1"/>
  <c r="CL9" i="1" s="1"/>
  <c r="CM9" i="1" s="1"/>
  <c r="G9" i="1"/>
  <c r="CJ9" i="1" s="1"/>
  <c r="CK9" i="1" s="1"/>
  <c r="F12" i="1"/>
  <c r="MP35" i="1"/>
  <c r="MI35" i="1"/>
  <c r="JB15" i="1"/>
  <c r="KP16" i="1"/>
  <c r="LP20" i="1"/>
  <c r="LS20" i="1" s="1"/>
  <c r="LE21" i="1"/>
  <c r="JO20" i="1" s="1"/>
  <c r="JC20" i="1"/>
  <c r="O8" i="1"/>
  <c r="R8" i="1" s="1"/>
  <c r="MF8" i="1"/>
  <c r="Q8" i="1"/>
  <c r="P8" i="1"/>
  <c r="N7" i="1"/>
  <c r="P8" i="2"/>
  <c r="LB12" i="1"/>
  <c r="IW25" i="2"/>
  <c r="IV25" i="2"/>
  <c r="JA25" i="2" s="1"/>
  <c r="LP25" i="1"/>
  <c r="LS25" i="1" s="1"/>
  <c r="LE26" i="1"/>
  <c r="JC25" i="1"/>
  <c r="BP15" i="2"/>
  <c r="CK15" i="2"/>
  <c r="DN15" i="2"/>
  <c r="ET15" i="2"/>
  <c r="CK19" i="2"/>
  <c r="DN19" i="2"/>
  <c r="BP19" i="2"/>
  <c r="ET19" i="2"/>
  <c r="BP22" i="2"/>
  <c r="ET22" i="2"/>
  <c r="DN22" i="2"/>
  <c r="CK22" i="2"/>
  <c r="ET16" i="2"/>
  <c r="DN16" i="2"/>
  <c r="CK16" i="2"/>
  <c r="BP16" i="2"/>
  <c r="KX14" i="1"/>
  <c r="M16" i="1"/>
  <c r="L16" i="1"/>
  <c r="G14" i="1"/>
  <c r="CJ13" i="1" s="1"/>
  <c r="CK13" i="1" s="1"/>
  <c r="CI13" i="1"/>
  <c r="CL13" i="1" s="1"/>
  <c r="CM13" i="1" s="1"/>
  <c r="AH9" i="1"/>
  <c r="HU27" i="1"/>
  <c r="IC26" i="1"/>
  <c r="K10" i="1"/>
  <c r="LD14" i="1"/>
  <c r="KZ16" i="1"/>
  <c r="KF9" i="1"/>
  <c r="KN24" i="1"/>
  <c r="KP24" i="1"/>
  <c r="ET12" i="2"/>
  <c r="DN12" i="2"/>
  <c r="CK12" i="2"/>
  <c r="BP12" i="2"/>
  <c r="JC13" i="1"/>
  <c r="LE14" i="1"/>
  <c r="LP13" i="1"/>
  <c r="LS13" i="1" s="1"/>
  <c r="P6" i="2"/>
  <c r="KF24" i="1"/>
  <c r="P14" i="2"/>
  <c r="ET9" i="2"/>
  <c r="CK9" i="2"/>
  <c r="DN9" i="2"/>
  <c r="BP9" i="2"/>
  <c r="BP24" i="2"/>
  <c r="ET24" i="2"/>
  <c r="CK24" i="2"/>
  <c r="DN24" i="2"/>
  <c r="IV15" i="2"/>
  <c r="F20" i="1"/>
  <c r="AJ16" i="1"/>
  <c r="AJ19" i="1"/>
  <c r="AJ20" i="1" s="1"/>
  <c r="LB14" i="1"/>
  <c r="JB16" i="1"/>
  <c r="KP17" i="1"/>
  <c r="LF17" i="1" s="1"/>
  <c r="IU29" i="2"/>
  <c r="IW4" i="2"/>
  <c r="LM26" i="1"/>
  <c r="JB18" i="1"/>
  <c r="KP19" i="1"/>
  <c r="LF19" i="1" s="1"/>
  <c r="IW6" i="2"/>
  <c r="IV6" i="2"/>
  <c r="O17" i="1"/>
  <c r="R17" i="1" s="1"/>
  <c r="MF17" i="1"/>
  <c r="Q17" i="1"/>
  <c r="P17" i="1"/>
  <c r="JC17" i="1"/>
  <c r="LE18" i="1"/>
  <c r="LP17" i="1"/>
  <c r="LS17" i="1" s="1"/>
  <c r="I7" i="1"/>
  <c r="H9" i="1"/>
  <c r="J7" i="1"/>
  <c r="IV19" i="2"/>
  <c r="DN26" i="2"/>
  <c r="CK26" i="2"/>
  <c r="BP26" i="2"/>
  <c r="ET26" i="2"/>
  <c r="ET20" i="2"/>
  <c r="DN20" i="2"/>
  <c r="BP20" i="2"/>
  <c r="CK20" i="2"/>
  <c r="KN18" i="1"/>
  <c r="KP18" i="1"/>
  <c r="P7" i="2"/>
  <c r="IV4" i="2"/>
  <c r="KF8" i="1"/>
  <c r="IV26" i="1"/>
  <c r="M7" i="1"/>
  <c r="L7" i="1"/>
  <c r="KR10" i="1"/>
  <c r="KF15" i="1"/>
  <c r="DN8" i="2"/>
  <c r="CK8" i="2"/>
  <c r="ET8" i="2"/>
  <c r="BP8" i="2"/>
  <c r="DN10" i="2"/>
  <c r="ET10" i="2"/>
  <c r="BP10" i="2"/>
  <c r="CK10" i="2"/>
  <c r="KP14" i="1"/>
  <c r="I21" i="1"/>
  <c r="KF19" i="1"/>
  <c r="KP12" i="1"/>
  <c r="DN23" i="2"/>
  <c r="CK23" i="2"/>
  <c r="ET23" i="2"/>
  <c r="BP23" i="2"/>
  <c r="KN13" i="1"/>
  <c r="KP13" i="1"/>
  <c r="IW13" i="2"/>
  <c r="IV13" i="2"/>
  <c r="KT28" i="1"/>
  <c r="N16" i="1"/>
  <c r="LF7" i="1"/>
  <c r="KZ10" i="1"/>
  <c r="KF22" i="1"/>
  <c r="IT26" i="1"/>
  <c r="CK28" i="2"/>
  <c r="ET28" i="2"/>
  <c r="BP28" i="2"/>
  <c r="DN28" i="2"/>
  <c r="IX26" i="1"/>
  <c r="JB9" i="1"/>
  <c r="KP10" i="1"/>
  <c r="KX12" i="1"/>
  <c r="BP5" i="2"/>
  <c r="ET5" i="2"/>
  <c r="DN5" i="2"/>
  <c r="CK5" i="2"/>
  <c r="JB24" i="1"/>
  <c r="KP25" i="1"/>
  <c r="LF25" i="1" s="1"/>
  <c r="LD12" i="1"/>
  <c r="KF18" i="1"/>
  <c r="KF21" i="1"/>
  <c r="LE12" i="1"/>
  <c r="JC11" i="1"/>
  <c r="LP11" i="1"/>
  <c r="LS11" i="1" s="1"/>
  <c r="BP17" i="2"/>
  <c r="DN17" i="2"/>
  <c r="CK17" i="2"/>
  <c r="ET17" i="2"/>
  <c r="IZ26" i="1"/>
  <c r="KP22" i="1"/>
  <c r="LF22" i="1" s="1"/>
  <c r="JB21" i="1"/>
  <c r="DN25" i="2"/>
  <c r="BP25" i="2"/>
  <c r="CK25" i="2"/>
  <c r="ET25" i="2"/>
  <c r="LF15" i="1"/>
  <c r="MF9" i="1"/>
  <c r="P9" i="1"/>
  <c r="O9" i="1"/>
  <c r="Q9" i="1"/>
  <c r="CK7" i="2"/>
  <c r="BP7" i="2"/>
  <c r="ET7" i="2"/>
  <c r="DN7" i="2"/>
  <c r="LD10" i="1"/>
  <c r="CJ17" i="1"/>
  <c r="CK17" i="1" s="1"/>
  <c r="M29" i="2"/>
  <c r="CK4" i="2"/>
  <c r="BP4" i="2"/>
  <c r="ET4" i="2"/>
  <c r="DN4" i="2"/>
  <c r="P25" i="2"/>
  <c r="P4" i="2"/>
  <c r="P12" i="2"/>
  <c r="P20" i="2"/>
  <c r="P19" i="2"/>
  <c r="P16" i="2"/>
  <c r="P5" i="2"/>
  <c r="P17" i="2"/>
  <c r="P26" i="2"/>
  <c r="P9" i="2"/>
  <c r="P23" i="2"/>
  <c r="P24" i="2"/>
  <c r="P21" i="2"/>
  <c r="P27" i="2"/>
  <c r="P15" i="2"/>
  <c r="P28" i="2"/>
  <c r="P22" i="2"/>
  <c r="KF16" i="1"/>
  <c r="ET18" i="2"/>
  <c r="BP18" i="2"/>
  <c r="CK18" i="2"/>
  <c r="DN18" i="2"/>
  <c r="P18" i="2"/>
  <c r="P13" i="2"/>
  <c r="JB8" i="1"/>
  <c r="KP9" i="1"/>
  <c r="LF9" i="1" s="1"/>
  <c r="IL26" i="1"/>
  <c r="JM25" i="2"/>
  <c r="JL25" i="2"/>
  <c r="DN13" i="2"/>
  <c r="CK13" i="2"/>
  <c r="BP13" i="2"/>
  <c r="ET13" i="2"/>
  <c r="CK21" i="2"/>
  <c r="ET21" i="2"/>
  <c r="DN21" i="2"/>
  <c r="BP21" i="2"/>
  <c r="KN8" i="1"/>
  <c r="KP8" i="1"/>
  <c r="JC14" i="1"/>
  <c r="LP14" i="1"/>
  <c r="LS14" i="1" s="1"/>
  <c r="LE15" i="1"/>
  <c r="IW10" i="2"/>
  <c r="IV10" i="2"/>
  <c r="R25" i="1"/>
  <c r="Q25" i="1"/>
  <c r="FI8" i="1"/>
  <c r="IV11" i="2"/>
  <c r="JB22" i="1"/>
  <c r="KP23" i="1"/>
  <c r="LF23" i="1" s="1"/>
  <c r="DN11" i="2"/>
  <c r="ET11" i="2"/>
  <c r="CK11" i="2"/>
  <c r="BP11" i="2"/>
  <c r="IV8" i="2"/>
  <c r="LB10" i="1"/>
  <c r="IV22" i="2"/>
  <c r="LS6" i="1"/>
  <c r="LQ10" i="1" l="1"/>
  <c r="JO10" i="1"/>
  <c r="LF26" i="1"/>
  <c r="IN27" i="1"/>
  <c r="AI15" i="1" s="1"/>
  <c r="AI17" i="1" s="1"/>
  <c r="IV29" i="2"/>
  <c r="R9" i="1"/>
  <c r="K15" i="1"/>
  <c r="CM8" i="2"/>
  <c r="DL8" i="2"/>
  <c r="DY8" i="2"/>
  <c r="KW28" i="1"/>
  <c r="IT27" i="1"/>
  <c r="K19" i="1"/>
  <c r="L10" i="1"/>
  <c r="M10" i="1"/>
  <c r="K12" i="1"/>
  <c r="MF7" i="1"/>
  <c r="Q7" i="1"/>
  <c r="O7" i="1"/>
  <c r="R7" i="1" s="1"/>
  <c r="P7" i="1"/>
  <c r="CI11" i="1"/>
  <c r="CL11" i="1" s="1"/>
  <c r="CM11" i="1" s="1"/>
  <c r="G12" i="1"/>
  <c r="CJ11" i="1" s="1"/>
  <c r="CK11" i="1" s="1"/>
  <c r="M15" i="1"/>
  <c r="L15" i="1"/>
  <c r="IC27" i="1"/>
  <c r="CM16" i="2"/>
  <c r="DL16" i="2"/>
  <c r="DY16" i="2"/>
  <c r="KP27" i="1"/>
  <c r="CM15" i="2"/>
  <c r="DL15" i="2"/>
  <c r="DY15" i="2"/>
  <c r="G20" i="1"/>
  <c r="CJ18" i="1" s="1"/>
  <c r="CK18" i="1" s="1"/>
  <c r="CI18" i="1"/>
  <c r="CL18" i="1" s="1"/>
  <c r="CM18" i="1" s="1"/>
  <c r="J20" i="1"/>
  <c r="DL14" i="2"/>
  <c r="DY14" i="2"/>
  <c r="CM14" i="2"/>
  <c r="LB24" i="1"/>
  <c r="KZ24" i="1"/>
  <c r="KX24" i="1"/>
  <c r="KR24" i="1"/>
  <c r="LD24" i="1"/>
  <c r="P29" i="2"/>
  <c r="CM4" i="2"/>
  <c r="DL4" i="2"/>
  <c r="DY4" i="2"/>
  <c r="H12" i="1"/>
  <c r="J9" i="1"/>
  <c r="I9" i="1"/>
  <c r="M9" i="1"/>
  <c r="LQ18" i="1"/>
  <c r="LZ8" i="1"/>
  <c r="MH8" i="1"/>
  <c r="MG8" i="1"/>
  <c r="MP8" i="1"/>
  <c r="MQ8" i="1" s="1"/>
  <c r="MR8" i="1" s="1"/>
  <c r="AI16" i="1"/>
  <c r="AI19" i="1"/>
  <c r="AI20" i="1" s="1"/>
  <c r="C7" i="2"/>
  <c r="MH17" i="1"/>
  <c r="MI17" i="1" s="1"/>
  <c r="MG17" i="1"/>
  <c r="MP17" i="1"/>
  <c r="MQ17" i="1" s="1"/>
  <c r="MR17" i="1" s="1"/>
  <c r="LQ8" i="1"/>
  <c r="DY12" i="2"/>
  <c r="CM12" i="2"/>
  <c r="DL12" i="2"/>
  <c r="LF14" i="1"/>
  <c r="DY21" i="2"/>
  <c r="DL21" i="2"/>
  <c r="CM21" i="2"/>
  <c r="LE10" i="1"/>
  <c r="LP9" i="1"/>
  <c r="LS9" i="1" s="1"/>
  <c r="JC9" i="1"/>
  <c r="LP18" i="1"/>
  <c r="LS18" i="1" s="1"/>
  <c r="JC18" i="1"/>
  <c r="LE19" i="1"/>
  <c r="JO18" i="1" s="1"/>
  <c r="JO25" i="1"/>
  <c r="LQ25" i="1"/>
  <c r="CM22" i="2"/>
  <c r="DL22" i="2"/>
  <c r="DY22" i="2"/>
  <c r="LP22" i="1"/>
  <c r="LS22" i="1" s="1"/>
  <c r="LE23" i="1"/>
  <c r="JO22" i="1" s="1"/>
  <c r="JC22" i="1"/>
  <c r="LP21" i="1"/>
  <c r="LS21" i="1" s="1"/>
  <c r="JC21" i="1"/>
  <c r="LE22" i="1"/>
  <c r="DL27" i="2"/>
  <c r="CM27" i="2"/>
  <c r="DY27" i="2"/>
  <c r="LF10" i="1"/>
  <c r="CM13" i="2"/>
  <c r="DL13" i="2"/>
  <c r="DY13" i="2"/>
  <c r="CM25" i="2"/>
  <c r="DL25" i="2"/>
  <c r="DY25" i="2"/>
  <c r="DL18" i="2"/>
  <c r="CM18" i="2"/>
  <c r="DY18" i="2"/>
  <c r="CM24" i="2"/>
  <c r="DL24" i="2"/>
  <c r="DY24" i="2"/>
  <c r="DN29" i="2"/>
  <c r="LC28" i="1"/>
  <c r="IZ27" i="1"/>
  <c r="K20" i="1"/>
  <c r="IX27" i="1"/>
  <c r="LA28" i="1"/>
  <c r="K18" i="1"/>
  <c r="CM6" i="2"/>
  <c r="DL6" i="2"/>
  <c r="DY6" i="2"/>
  <c r="LP19" i="1"/>
  <c r="LS19" i="1" s="1"/>
  <c r="LE20" i="1"/>
  <c r="JO19" i="1" s="1"/>
  <c r="JC19" i="1"/>
  <c r="DL5" i="2"/>
  <c r="CM5" i="2"/>
  <c r="DY5" i="2"/>
  <c r="DY28" i="2"/>
  <c r="CM28" i="2"/>
  <c r="DL28" i="2"/>
  <c r="JO21" i="1"/>
  <c r="LQ21" i="1"/>
  <c r="LB13" i="1"/>
  <c r="KR13" i="1"/>
  <c r="LD13" i="1"/>
  <c r="KZ13" i="1"/>
  <c r="KX13" i="1"/>
  <c r="CM23" i="2"/>
  <c r="DL23" i="2"/>
  <c r="DY23" i="2"/>
  <c r="ET29" i="2"/>
  <c r="JW10" i="1"/>
  <c r="JY10" i="1"/>
  <c r="KG10" i="1" s="1"/>
  <c r="LN10" i="1" s="1"/>
  <c r="LT10" i="1" s="1"/>
  <c r="LQ6" i="1"/>
  <c r="JO6" i="1"/>
  <c r="LQ19" i="1"/>
  <c r="JW20" i="1"/>
  <c r="JY20" i="1"/>
  <c r="KG20" i="1" s="1"/>
  <c r="LN20" i="1" s="1"/>
  <c r="LT20" i="1" s="1"/>
  <c r="F21" i="1"/>
  <c r="LE17" i="1"/>
  <c r="JO16" i="1" s="1"/>
  <c r="JC16" i="1"/>
  <c r="LP16" i="1"/>
  <c r="LS16" i="1" s="1"/>
  <c r="CM7" i="2"/>
  <c r="DY7" i="2"/>
  <c r="DL7" i="2"/>
  <c r="DL19" i="2"/>
  <c r="CM19" i="2"/>
  <c r="DY19" i="2"/>
  <c r="CM20" i="2"/>
  <c r="DL20" i="2"/>
  <c r="DY20" i="2"/>
  <c r="LD18" i="1"/>
  <c r="KX18" i="1"/>
  <c r="KZ18" i="1"/>
  <c r="KR18" i="1"/>
  <c r="LB18" i="1"/>
  <c r="LD8" i="1"/>
  <c r="LB8" i="1"/>
  <c r="KX8" i="1"/>
  <c r="KR8" i="1"/>
  <c r="KZ8" i="1"/>
  <c r="JC8" i="1"/>
  <c r="LP8" i="1"/>
  <c r="LE9" i="1"/>
  <c r="JO8" i="1" s="1"/>
  <c r="DL9" i="2"/>
  <c r="CM9" i="2"/>
  <c r="DY9" i="2"/>
  <c r="O16" i="1"/>
  <c r="R16" i="1" s="1"/>
  <c r="MF16" i="1"/>
  <c r="Q16" i="1"/>
  <c r="P16" i="1"/>
  <c r="IW29" i="2"/>
  <c r="DL26" i="2"/>
  <c r="CM26" i="2"/>
  <c r="DY26" i="2"/>
  <c r="CK29" i="2"/>
  <c r="MG9" i="1"/>
  <c r="MP9" i="1"/>
  <c r="MQ9" i="1" s="1"/>
  <c r="MR9" i="1" s="1"/>
  <c r="LQ24" i="1"/>
  <c r="LF12" i="1"/>
  <c r="LF16" i="1"/>
  <c r="LQ22" i="1"/>
  <c r="IL27" i="1"/>
  <c r="AH15" i="1" s="1"/>
  <c r="KO28" i="1"/>
  <c r="JB26" i="1"/>
  <c r="AH17" i="1"/>
  <c r="K14" i="1"/>
  <c r="BP29" i="2"/>
  <c r="IV27" i="1"/>
  <c r="KY28" i="1"/>
  <c r="CM17" i="2"/>
  <c r="DL17" i="2"/>
  <c r="DY17" i="2"/>
  <c r="LQ14" i="1"/>
  <c r="JO14" i="1"/>
  <c r="JC24" i="1"/>
  <c r="LE25" i="1"/>
  <c r="JO24" i="1" s="1"/>
  <c r="LP24" i="1"/>
  <c r="LS24" i="1" s="1"/>
  <c r="AJ21" i="1"/>
  <c r="LQ16" i="1"/>
  <c r="LP15" i="1"/>
  <c r="LS15" i="1" s="1"/>
  <c r="LE16" i="1"/>
  <c r="JC15" i="1"/>
  <c r="LF18" i="1" l="1"/>
  <c r="LF13" i="1"/>
  <c r="KX27" i="1"/>
  <c r="LF24" i="1"/>
  <c r="JO23" i="1" s="1"/>
  <c r="JO12" i="1"/>
  <c r="LQ12" i="1"/>
  <c r="JW24" i="1"/>
  <c r="JY24" i="1"/>
  <c r="KG24" i="1" s="1"/>
  <c r="LN24" i="1" s="1"/>
  <c r="LT24" i="1" s="1"/>
  <c r="LQ17" i="1"/>
  <c r="JO17" i="1"/>
  <c r="JW8" i="1"/>
  <c r="JY8" i="1"/>
  <c r="KG8" i="1" s="1"/>
  <c r="LN8" i="1" s="1"/>
  <c r="LT8" i="1" s="1"/>
  <c r="JW25" i="1"/>
  <c r="JY25" i="1"/>
  <c r="KG25" i="1" s="1"/>
  <c r="LN25" i="1" s="1"/>
  <c r="LT25" i="1" s="1"/>
  <c r="LF8" i="1"/>
  <c r="JW16" i="1"/>
  <c r="JY16" i="1"/>
  <c r="KG16" i="1" s="1"/>
  <c r="LN16" i="1" s="1"/>
  <c r="LT16" i="1" s="1"/>
  <c r="M18" i="1"/>
  <c r="L18" i="1"/>
  <c r="BZ9" i="2"/>
  <c r="JW18" i="1"/>
  <c r="JY18" i="1"/>
  <c r="KG18" i="1" s="1"/>
  <c r="LN18" i="1" s="1"/>
  <c r="LT18" i="1" s="1"/>
  <c r="MG7" i="1"/>
  <c r="MP7" i="1"/>
  <c r="MQ7" i="1" s="1"/>
  <c r="MR7" i="1" s="1"/>
  <c r="LS8" i="1"/>
  <c r="LP26" i="1"/>
  <c r="K21" i="1"/>
  <c r="M14" i="1"/>
  <c r="L14" i="1"/>
  <c r="C6" i="2"/>
  <c r="MH16" i="1"/>
  <c r="MI16" i="1" s="1"/>
  <c r="MG16" i="1"/>
  <c r="MP16" i="1"/>
  <c r="MQ16" i="1" s="1"/>
  <c r="MR16" i="1" s="1"/>
  <c r="KZ27" i="1"/>
  <c r="LQ9" i="1"/>
  <c r="JO9" i="1"/>
  <c r="LQ13" i="1"/>
  <c r="JO13" i="1"/>
  <c r="JW19" i="1"/>
  <c r="JY19" i="1"/>
  <c r="KG19" i="1" s="1"/>
  <c r="LN19" i="1" s="1"/>
  <c r="LT19" i="1" s="1"/>
  <c r="LQ15" i="1"/>
  <c r="JO15" i="1"/>
  <c r="KR27" i="1"/>
  <c r="JW21" i="1"/>
  <c r="JY21" i="1"/>
  <c r="KG21" i="1" s="1"/>
  <c r="LN21" i="1" s="1"/>
  <c r="LT21" i="1" s="1"/>
  <c r="M20" i="1"/>
  <c r="L20" i="1"/>
  <c r="JC26" i="1"/>
  <c r="JB27" i="1"/>
  <c r="LE28" i="1"/>
  <c r="LB27" i="1"/>
  <c r="JW6" i="1"/>
  <c r="JY6" i="1"/>
  <c r="I12" i="1"/>
  <c r="H22" i="1"/>
  <c r="J12" i="1"/>
  <c r="K22" i="1"/>
  <c r="M12" i="1"/>
  <c r="L12" i="1"/>
  <c r="LD27" i="1"/>
  <c r="G21" i="1"/>
  <c r="CJ19" i="1" s="1"/>
  <c r="CK19" i="1" s="1"/>
  <c r="CI19" i="1"/>
  <c r="CL19" i="1" s="1"/>
  <c r="CM19" i="1" s="1"/>
  <c r="J21" i="1"/>
  <c r="MI8" i="1"/>
  <c r="DY29" i="2"/>
  <c r="LQ11" i="1"/>
  <c r="JO11" i="1"/>
  <c r="DL29" i="2"/>
  <c r="KX28" i="1"/>
  <c r="AH16" i="1"/>
  <c r="AH19" i="1"/>
  <c r="AH21" i="1" s="1"/>
  <c r="CM29" i="2"/>
  <c r="JW22" i="1"/>
  <c r="JY22" i="1"/>
  <c r="KG22" i="1" s="1"/>
  <c r="LN22" i="1" s="1"/>
  <c r="LT22" i="1" s="1"/>
  <c r="F22" i="1"/>
  <c r="M19" i="1"/>
  <c r="L19" i="1"/>
  <c r="JW14" i="1"/>
  <c r="JY14" i="1"/>
  <c r="KG14" i="1" s="1"/>
  <c r="LN14" i="1" s="1"/>
  <c r="LT14" i="1" s="1"/>
  <c r="KP28" i="1"/>
  <c r="N14" i="1"/>
  <c r="LF27" i="1" l="1"/>
  <c r="N19" i="1"/>
  <c r="LQ23" i="1"/>
  <c r="BZ5" i="2"/>
  <c r="BZ6" i="2"/>
  <c r="BZ8" i="2"/>
  <c r="BZ4" i="2"/>
  <c r="BZ7" i="2"/>
  <c r="JW13" i="1"/>
  <c r="JY13" i="1"/>
  <c r="KG13" i="1" s="1"/>
  <c r="LN13" i="1" s="1"/>
  <c r="LT13" i="1" s="1"/>
  <c r="BR29" i="2"/>
  <c r="BS29" i="2" s="1"/>
  <c r="BG6" i="2"/>
  <c r="M22" i="1"/>
  <c r="L22" i="1"/>
  <c r="JW23" i="1"/>
  <c r="JY23" i="1"/>
  <c r="KG23" i="1" s="1"/>
  <c r="LN23" i="1" s="1"/>
  <c r="LT23" i="1" s="1"/>
  <c r="JW9" i="1"/>
  <c r="JY9" i="1"/>
  <c r="KG9" i="1" s="1"/>
  <c r="LN9" i="1" s="1"/>
  <c r="LT9" i="1" s="1"/>
  <c r="M21" i="1"/>
  <c r="L21" i="1"/>
  <c r="JW17" i="1"/>
  <c r="JY17" i="1"/>
  <c r="KG17" i="1" s="1"/>
  <c r="LN17" i="1" s="1"/>
  <c r="LT17" i="1" s="1"/>
  <c r="Q14" i="1"/>
  <c r="P14" i="1"/>
  <c r="MF14" i="1"/>
  <c r="O14" i="1"/>
  <c r="R14" i="1" s="1"/>
  <c r="G22" i="1"/>
  <c r="CJ20" i="1" s="1"/>
  <c r="CK20" i="1" s="1"/>
  <c r="CI20" i="1"/>
  <c r="CL20" i="1" s="1"/>
  <c r="CM20" i="1" s="1"/>
  <c r="JW11" i="1"/>
  <c r="JY11" i="1"/>
  <c r="KG11" i="1" s="1"/>
  <c r="LN11" i="1" s="1"/>
  <c r="LT11" i="1" s="1"/>
  <c r="LS26" i="1"/>
  <c r="LF28" i="1"/>
  <c r="JO26" i="1"/>
  <c r="JW26" i="1" s="1"/>
  <c r="AH20" i="1"/>
  <c r="AL5" i="2"/>
  <c r="KG6" i="1"/>
  <c r="LN6" i="1" s="1"/>
  <c r="X14" i="1"/>
  <c r="Z14" i="1"/>
  <c r="Y14" i="1"/>
  <c r="KR28" i="1"/>
  <c r="N15" i="1"/>
  <c r="AI21" i="1"/>
  <c r="J22" i="1"/>
  <c r="I22" i="1"/>
  <c r="MF19" i="1"/>
  <c r="P19" i="1"/>
  <c r="O19" i="1"/>
  <c r="R19" i="1" s="1"/>
  <c r="Q19" i="1"/>
  <c r="LD28" i="1"/>
  <c r="N20" i="1"/>
  <c r="JW15" i="1"/>
  <c r="JY15" i="1"/>
  <c r="KG15" i="1" s="1"/>
  <c r="LN15" i="1" s="1"/>
  <c r="LT15" i="1" s="1"/>
  <c r="KZ28" i="1"/>
  <c r="LQ7" i="1"/>
  <c r="LQ26" i="1" s="1"/>
  <c r="JO7" i="1"/>
  <c r="LB28" i="1"/>
  <c r="N18" i="1"/>
  <c r="JW12" i="1"/>
  <c r="JY12" i="1"/>
  <c r="KG12" i="1" s="1"/>
  <c r="LN12" i="1" s="1"/>
  <c r="LT12" i="1" s="1"/>
  <c r="O18" i="1" l="1"/>
  <c r="R18" i="1" s="1"/>
  <c r="MF18" i="1"/>
  <c r="Q18" i="1"/>
  <c r="P18" i="1"/>
  <c r="BG4" i="2"/>
  <c r="BO29" i="2" s="1"/>
  <c r="BG5" i="2"/>
  <c r="BQ29" i="2" s="1"/>
  <c r="Q15" i="1"/>
  <c r="P15" i="1"/>
  <c r="O15" i="1"/>
  <c r="R15" i="1" s="1"/>
  <c r="MF15" i="1"/>
  <c r="X16" i="1"/>
  <c r="X15" i="1"/>
  <c r="AA14" i="1"/>
  <c r="Z16" i="1"/>
  <c r="Z15" i="1"/>
  <c r="JW7" i="1"/>
  <c r="JY7" i="1"/>
  <c r="LT6" i="1"/>
  <c r="C9" i="2"/>
  <c r="MP19" i="1"/>
  <c r="MQ19" i="1" s="1"/>
  <c r="MR19" i="1" s="1"/>
  <c r="MH19" i="1"/>
  <c r="MI19" i="1" s="1"/>
  <c r="MG19" i="1"/>
  <c r="CC7" i="2"/>
  <c r="CD7" i="2"/>
  <c r="AV25" i="2"/>
  <c r="AV15" i="2"/>
  <c r="AV14" i="2"/>
  <c r="AV27" i="2"/>
  <c r="AV8" i="2"/>
  <c r="AV18" i="2"/>
  <c r="AV4" i="2"/>
  <c r="AV5" i="2"/>
  <c r="AV20" i="2"/>
  <c r="AV26" i="2"/>
  <c r="AV11" i="2"/>
  <c r="AV19" i="2"/>
  <c r="AV16" i="2"/>
  <c r="AV6" i="2"/>
  <c r="AV9" i="2"/>
  <c r="AV28" i="2"/>
  <c r="AV17" i="2"/>
  <c r="AV13" i="2"/>
  <c r="AV23" i="2"/>
  <c r="AV7" i="2"/>
  <c r="AV21" i="2"/>
  <c r="AV24" i="2"/>
  <c r="AV22" i="2"/>
  <c r="AV10" i="2"/>
  <c r="AV12" i="2"/>
  <c r="CD4" i="2"/>
  <c r="CC4" i="2"/>
  <c r="N21" i="1"/>
  <c r="CC6" i="2"/>
  <c r="CD6" i="2"/>
  <c r="Q20" i="1"/>
  <c r="P20" i="1"/>
  <c r="O20" i="1"/>
  <c r="R20" i="1" s="1"/>
  <c r="MF20" i="1"/>
  <c r="Y16" i="1"/>
  <c r="Y15" i="1"/>
  <c r="CD8" i="2"/>
  <c r="CC8" i="2"/>
  <c r="C4" i="2"/>
  <c r="MP14" i="1"/>
  <c r="MH14" i="1"/>
  <c r="MG14" i="1"/>
  <c r="CC5" i="2"/>
  <c r="CD5" i="2"/>
  <c r="BQ6" i="2" l="1"/>
  <c r="BQ10" i="2"/>
  <c r="BQ26" i="2"/>
  <c r="BQ12" i="2"/>
  <c r="BQ15" i="2"/>
  <c r="BQ17" i="2"/>
  <c r="BQ19" i="2"/>
  <c r="BQ13" i="2"/>
  <c r="BQ18" i="2"/>
  <c r="BQ9" i="2"/>
  <c r="BQ23" i="2"/>
  <c r="BQ8" i="2"/>
  <c r="BQ20" i="2"/>
  <c r="BQ22" i="2"/>
  <c r="BQ11" i="2"/>
  <c r="BQ28" i="2"/>
  <c r="BQ27" i="2"/>
  <c r="BQ16" i="2"/>
  <c r="BQ4" i="2"/>
  <c r="BQ24" i="2"/>
  <c r="BQ14" i="2"/>
  <c r="BQ7" i="2"/>
  <c r="BQ21" i="2"/>
  <c r="BQ5" i="2"/>
  <c r="BQ25" i="2"/>
  <c r="C5" i="2"/>
  <c r="MP15" i="1"/>
  <c r="MQ15" i="1" s="1"/>
  <c r="MR15" i="1" s="1"/>
  <c r="MH15" i="1"/>
  <c r="MI15" i="1" s="1"/>
  <c r="MG15" i="1"/>
  <c r="DZ29" i="2"/>
  <c r="AL4" i="2"/>
  <c r="AL6" i="2" s="1"/>
  <c r="KG7" i="1"/>
  <c r="LN7" i="1" s="1"/>
  <c r="JY26" i="1"/>
  <c r="MI14" i="1"/>
  <c r="MQ14" i="1"/>
  <c r="MR14" i="1" s="1"/>
  <c r="CC9" i="2"/>
  <c r="CL29" i="2" s="1"/>
  <c r="C10" i="2"/>
  <c r="MH20" i="1"/>
  <c r="MI20" i="1" s="1"/>
  <c r="MP20" i="1"/>
  <c r="MQ20" i="1" s="1"/>
  <c r="MR20" i="1" s="1"/>
  <c r="MG20" i="1"/>
  <c r="AV29" i="2"/>
  <c r="Q21" i="1"/>
  <c r="MF21" i="1"/>
  <c r="P21" i="1"/>
  <c r="O21" i="1"/>
  <c r="R21" i="1" s="1"/>
  <c r="CD9" i="2"/>
  <c r="CN29" i="2" s="1"/>
  <c r="MG18" i="1"/>
  <c r="C8" i="2"/>
  <c r="MP18" i="1"/>
  <c r="MQ18" i="1" s="1"/>
  <c r="MR18" i="1" s="1"/>
  <c r="MH18" i="1"/>
  <c r="MI18" i="1" s="1"/>
  <c r="AA16" i="1"/>
  <c r="AA15" i="1"/>
  <c r="AW24" i="2" l="1"/>
  <c r="AX24" i="2" s="1"/>
  <c r="AW28" i="2"/>
  <c r="AX28" i="2" s="1"/>
  <c r="AW27" i="2"/>
  <c r="AX27" i="2" s="1"/>
  <c r="AW20" i="2"/>
  <c r="AX20" i="2" s="1"/>
  <c r="AW26" i="2"/>
  <c r="AX26" i="2" s="1"/>
  <c r="AW19" i="2"/>
  <c r="AX19" i="2" s="1"/>
  <c r="AW16" i="2"/>
  <c r="AX16" i="2" s="1"/>
  <c r="AW18" i="2"/>
  <c r="AX18" i="2" s="1"/>
  <c r="AW17" i="2"/>
  <c r="AX17" i="2" s="1"/>
  <c r="AW21" i="2"/>
  <c r="AX21" i="2" s="1"/>
  <c r="AW10" i="2"/>
  <c r="AX10" i="2" s="1"/>
  <c r="AW25" i="2"/>
  <c r="AX25" i="2" s="1"/>
  <c r="AW22" i="2"/>
  <c r="AX22" i="2" s="1"/>
  <c r="AW23" i="2"/>
  <c r="AX23" i="2" s="1"/>
  <c r="AW14" i="2"/>
  <c r="AX14" i="2" s="1"/>
  <c r="AW4" i="2"/>
  <c r="AW9" i="2"/>
  <c r="AX9" i="2" s="1"/>
  <c r="AW11" i="2"/>
  <c r="AX11" i="2" s="1"/>
  <c r="AW13" i="2"/>
  <c r="AX13" i="2" s="1"/>
  <c r="AW12" i="2"/>
  <c r="AX12" i="2" s="1"/>
  <c r="AW15" i="2"/>
  <c r="AX15" i="2" s="1"/>
  <c r="AW5" i="2"/>
  <c r="AX5" i="2" s="1"/>
  <c r="AW7" i="2"/>
  <c r="AX7" i="2" s="1"/>
  <c r="AW6" i="2"/>
  <c r="AX6" i="2" s="1"/>
  <c r="AW8" i="2"/>
  <c r="AX8" i="2" s="1"/>
  <c r="MH21" i="1"/>
  <c r="MP21" i="1"/>
  <c r="MQ21" i="1" s="1"/>
  <c r="MR21" i="1" s="1"/>
  <c r="MG21" i="1"/>
  <c r="LZ7" i="1"/>
  <c r="LZ9" i="1" s="1"/>
  <c r="LZ12" i="1" s="1"/>
  <c r="LZ13" i="1" s="1"/>
  <c r="MF23" i="1" s="1"/>
  <c r="MF24" i="1" s="1"/>
  <c r="MP24" i="1" s="1"/>
  <c r="MQ24" i="1" s="1"/>
  <c r="MR24" i="1" s="1"/>
  <c r="CL6" i="2"/>
  <c r="CL16" i="2"/>
  <c r="CL14" i="2"/>
  <c r="CL24" i="2"/>
  <c r="CL9" i="2"/>
  <c r="CL11" i="2"/>
  <c r="CL18" i="2"/>
  <c r="CL27" i="2"/>
  <c r="CL5" i="2"/>
  <c r="CL25" i="2"/>
  <c r="CL19" i="2"/>
  <c r="CL20" i="2"/>
  <c r="CL8" i="2"/>
  <c r="CL26" i="2"/>
  <c r="CL28" i="2"/>
  <c r="CL23" i="2"/>
  <c r="CL13" i="2"/>
  <c r="CL10" i="2"/>
  <c r="CL12" i="2"/>
  <c r="CL21" i="2"/>
  <c r="CL17" i="2"/>
  <c r="CL15" i="2"/>
  <c r="CL4" i="2"/>
  <c r="CL7" i="2"/>
  <c r="CL22" i="2"/>
  <c r="MF31" i="1"/>
  <c r="KG26" i="1"/>
  <c r="JY27" i="1"/>
  <c r="N10" i="1"/>
  <c r="EA29" i="2"/>
  <c r="DZ11" i="2"/>
  <c r="DZ10" i="2"/>
  <c r="DZ22" i="2"/>
  <c r="DZ6" i="2"/>
  <c r="DZ26" i="2"/>
  <c r="DZ4" i="2"/>
  <c r="DZ20" i="2"/>
  <c r="DZ17" i="2"/>
  <c r="DZ18" i="2"/>
  <c r="DZ7" i="2"/>
  <c r="DZ5" i="2"/>
  <c r="DZ14" i="2"/>
  <c r="DZ27" i="2"/>
  <c r="DZ12" i="2"/>
  <c r="DZ28" i="2"/>
  <c r="DZ25" i="2"/>
  <c r="FX25" i="2" s="1"/>
  <c r="DZ24" i="2"/>
  <c r="FX24" i="2" s="1"/>
  <c r="DZ21" i="2"/>
  <c r="DZ23" i="2"/>
  <c r="DZ16" i="2"/>
  <c r="DZ19" i="2"/>
  <c r="DZ15" i="2"/>
  <c r="DZ13" i="2"/>
  <c r="DZ8" i="2"/>
  <c r="DZ9" i="2"/>
  <c r="CN10" i="2"/>
  <c r="CN11" i="2"/>
  <c r="CN9" i="2"/>
  <c r="CN7" i="2"/>
  <c r="CN14" i="2"/>
  <c r="CN19" i="2"/>
  <c r="CN5" i="2"/>
  <c r="CO5" i="2" s="1"/>
  <c r="CN20" i="2"/>
  <c r="CO20" i="2" s="1"/>
  <c r="CN27" i="2"/>
  <c r="CN25" i="2"/>
  <c r="CN23" i="2"/>
  <c r="CN12" i="2"/>
  <c r="CN15" i="2"/>
  <c r="CN28" i="2"/>
  <c r="CN18" i="2"/>
  <c r="CN22" i="2"/>
  <c r="CN16" i="2"/>
  <c r="CN6" i="2"/>
  <c r="CO6" i="2" s="1"/>
  <c r="CN4" i="2"/>
  <c r="CN17" i="2"/>
  <c r="CO17" i="2" s="1"/>
  <c r="CN13" i="2"/>
  <c r="CN8" i="2"/>
  <c r="CO8" i="2" s="1"/>
  <c r="CN26" i="2"/>
  <c r="CN24" i="2"/>
  <c r="CN21" i="2"/>
  <c r="LT7" i="1"/>
  <c r="LN26" i="1"/>
  <c r="EI7" i="2"/>
  <c r="CO11" i="2" l="1"/>
  <c r="CO10" i="2"/>
  <c r="CO7" i="2"/>
  <c r="CO22" i="2"/>
  <c r="CO16" i="2"/>
  <c r="CO14" i="2"/>
  <c r="CQ14" i="2" s="1"/>
  <c r="GK14" i="2" s="1"/>
  <c r="CO9" i="2"/>
  <c r="CQ9" i="2" s="1"/>
  <c r="GK9" i="2" s="1"/>
  <c r="CO28" i="2"/>
  <c r="FV28" i="2" s="1"/>
  <c r="CO24" i="2"/>
  <c r="CO26" i="2"/>
  <c r="CQ26" i="2" s="1"/>
  <c r="GK26" i="2" s="1"/>
  <c r="O10" i="1"/>
  <c r="R10" i="1" s="1"/>
  <c r="P10" i="1"/>
  <c r="MF10" i="1"/>
  <c r="Q10" i="1"/>
  <c r="N12" i="1"/>
  <c r="FX7" i="2"/>
  <c r="EA7" i="2"/>
  <c r="GM7" i="2" s="1"/>
  <c r="AZ5" i="2"/>
  <c r="GI5" i="2" s="1"/>
  <c r="FT5" i="2"/>
  <c r="FT21" i="2"/>
  <c r="AZ21" i="2"/>
  <c r="GI21" i="2" s="1"/>
  <c r="FV5" i="2"/>
  <c r="CQ5" i="2"/>
  <c r="GK5" i="2" s="1"/>
  <c r="FX19" i="2"/>
  <c r="EA19" i="2"/>
  <c r="GM19" i="2" s="1"/>
  <c r="EA18" i="2"/>
  <c r="GM18" i="2" s="1"/>
  <c r="FX18" i="2"/>
  <c r="FT15" i="2"/>
  <c r="AZ15" i="2"/>
  <c r="GI15" i="2" s="1"/>
  <c r="FT17" i="2"/>
  <c r="AZ17" i="2"/>
  <c r="GI17" i="2" s="1"/>
  <c r="KG27" i="1"/>
  <c r="FT12" i="2"/>
  <c r="AZ12" i="2"/>
  <c r="GI12" i="2" s="1"/>
  <c r="AZ18" i="2"/>
  <c r="GI18" i="2" s="1"/>
  <c r="FT18" i="2"/>
  <c r="CQ20" i="2"/>
  <c r="GK20" i="2" s="1"/>
  <c r="FV20" i="2"/>
  <c r="EA15" i="2"/>
  <c r="GM15" i="2" s="1"/>
  <c r="FX15" i="2"/>
  <c r="LT26" i="1"/>
  <c r="CO18" i="2"/>
  <c r="FV9" i="2"/>
  <c r="EA23" i="2"/>
  <c r="GM23" i="2" s="1"/>
  <c r="FX23" i="2"/>
  <c r="FX20" i="2"/>
  <c r="EA20" i="2"/>
  <c r="GM20" i="2" s="1"/>
  <c r="MP31" i="1"/>
  <c r="MQ31" i="1" s="1"/>
  <c r="MR31" i="1" s="1"/>
  <c r="MG31" i="1"/>
  <c r="FT13" i="2"/>
  <c r="AZ13" i="2"/>
  <c r="GI13" i="2" s="1"/>
  <c r="FT16" i="2"/>
  <c r="AZ16" i="2"/>
  <c r="GI16" i="2" s="1"/>
  <c r="C11" i="2"/>
  <c r="MG23" i="1"/>
  <c r="MP23" i="1"/>
  <c r="MQ23" i="1" s="1"/>
  <c r="MR23" i="1" s="1"/>
  <c r="FT11" i="2"/>
  <c r="AZ11" i="2"/>
  <c r="GI11" i="2" s="1"/>
  <c r="FT19" i="2"/>
  <c r="AZ19" i="2"/>
  <c r="GI19" i="2" s="1"/>
  <c r="EA8" i="2"/>
  <c r="GM8" i="2" s="1"/>
  <c r="FX8" i="2"/>
  <c r="FT10" i="2"/>
  <c r="AZ10" i="2"/>
  <c r="GI10" i="2" s="1"/>
  <c r="EA17" i="2"/>
  <c r="GM17" i="2" s="1"/>
  <c r="FX17" i="2"/>
  <c r="CQ28" i="2"/>
  <c r="GK28" i="2" s="1"/>
  <c r="EA4" i="2"/>
  <c r="GM4" i="2" s="1"/>
  <c r="FX4" i="2"/>
  <c r="CO15" i="2"/>
  <c r="EA26" i="2"/>
  <c r="GM26" i="2" s="1"/>
  <c r="FX26" i="2"/>
  <c r="AZ9" i="2"/>
  <c r="GI9" i="2" s="1"/>
  <c r="FT9" i="2"/>
  <c r="FT26" i="2"/>
  <c r="AZ26" i="2"/>
  <c r="GI26" i="2" s="1"/>
  <c r="FV17" i="2"/>
  <c r="CQ17" i="2"/>
  <c r="GK17" i="2" s="1"/>
  <c r="FX13" i="2"/>
  <c r="EA13" i="2"/>
  <c r="GM13" i="2" s="1"/>
  <c r="CO19" i="2"/>
  <c r="FV22" i="2"/>
  <c r="CQ22" i="2"/>
  <c r="GK22" i="2" s="1"/>
  <c r="EA6" i="2"/>
  <c r="GM6" i="2" s="1"/>
  <c r="FX6" i="2"/>
  <c r="MF25" i="1"/>
  <c r="AW29" i="2"/>
  <c r="AX4" i="2"/>
  <c r="FT20" i="2"/>
  <c r="AZ20" i="2"/>
  <c r="GI20" i="2" s="1"/>
  <c r="FT6" i="2"/>
  <c r="AZ6" i="2"/>
  <c r="GI6" i="2" s="1"/>
  <c r="Z18" i="1"/>
  <c r="Y18" i="1"/>
  <c r="X18" i="1"/>
  <c r="EA21" i="2"/>
  <c r="GM21" i="2" s="1"/>
  <c r="FX21" i="2"/>
  <c r="FV10" i="2"/>
  <c r="CQ10" i="2"/>
  <c r="GK10" i="2" s="1"/>
  <c r="FV24" i="2"/>
  <c r="CO23" i="2"/>
  <c r="EA28" i="2"/>
  <c r="GM28" i="2" s="1"/>
  <c r="FX28" i="2"/>
  <c r="FT14" i="2"/>
  <c r="AZ14" i="2"/>
  <c r="GI14" i="2" s="1"/>
  <c r="AZ27" i="2"/>
  <c r="GI27" i="2" s="1"/>
  <c r="FT27" i="2"/>
  <c r="EA14" i="2"/>
  <c r="GM14" i="2" s="1"/>
  <c r="FX14" i="2"/>
  <c r="FT7" i="2"/>
  <c r="AZ7" i="2"/>
  <c r="GI7" i="2" s="1"/>
  <c r="FV16" i="2"/>
  <c r="CQ16" i="2"/>
  <c r="GK16" i="2" s="1"/>
  <c r="FV7" i="2"/>
  <c r="CQ7" i="2"/>
  <c r="GK7" i="2" s="1"/>
  <c r="EI6" i="2"/>
  <c r="EU29" i="2" s="1"/>
  <c r="EI4" i="2"/>
  <c r="EQ29" i="2" s="1"/>
  <c r="EI5" i="2"/>
  <c r="ES29" i="2" s="1"/>
  <c r="CQ11" i="2"/>
  <c r="GK11" i="2" s="1"/>
  <c r="FV11" i="2"/>
  <c r="CO21" i="2"/>
  <c r="CO12" i="2"/>
  <c r="CQ8" i="2"/>
  <c r="GK8" i="2" s="1"/>
  <c r="FV8" i="2"/>
  <c r="FX12" i="2"/>
  <c r="EA12" i="2"/>
  <c r="GM12" i="2" s="1"/>
  <c r="EA10" i="2"/>
  <c r="GM10" i="2" s="1"/>
  <c r="FX10" i="2"/>
  <c r="MI21" i="1"/>
  <c r="MH23" i="1"/>
  <c r="MI23" i="1" s="1"/>
  <c r="FT23" i="2"/>
  <c r="AZ23" i="2"/>
  <c r="GI23" i="2" s="1"/>
  <c r="FT28" i="2"/>
  <c r="AZ28" i="2"/>
  <c r="GI28" i="2" s="1"/>
  <c r="FT25" i="2"/>
  <c r="CO4" i="2"/>
  <c r="EA5" i="2"/>
  <c r="GM5" i="2" s="1"/>
  <c r="FX5" i="2"/>
  <c r="CQ6" i="2"/>
  <c r="GK6" i="2" s="1"/>
  <c r="FV6" i="2"/>
  <c r="EA16" i="2"/>
  <c r="GM16" i="2" s="1"/>
  <c r="FX16" i="2"/>
  <c r="FX22" i="2"/>
  <c r="EA22" i="2"/>
  <c r="GM22" i="2" s="1"/>
  <c r="CO25" i="2"/>
  <c r="CO13" i="2"/>
  <c r="CO27" i="2"/>
  <c r="EA9" i="2"/>
  <c r="GM9" i="2" s="1"/>
  <c r="FX9" i="2"/>
  <c r="EA27" i="2"/>
  <c r="GM27" i="2" s="1"/>
  <c r="FX27" i="2"/>
  <c r="EA11" i="2"/>
  <c r="GM11" i="2" s="1"/>
  <c r="FX11" i="2"/>
  <c r="AZ8" i="2"/>
  <c r="GI8" i="2" s="1"/>
  <c r="FT8" i="2"/>
  <c r="FT22" i="2"/>
  <c r="AZ22" i="2"/>
  <c r="GI22" i="2" s="1"/>
  <c r="FT24" i="2"/>
  <c r="FV26" i="2" l="1"/>
  <c r="FV14" i="2"/>
  <c r="MG25" i="1"/>
  <c r="MF28" i="1"/>
  <c r="MP25" i="1"/>
  <c r="X22" i="1"/>
  <c r="AA18" i="1"/>
  <c r="X20" i="1"/>
  <c r="X19" i="1"/>
  <c r="X23" i="1" s="1"/>
  <c r="FV12" i="2"/>
  <c r="CQ12" i="2"/>
  <c r="GK12" i="2" s="1"/>
  <c r="Y19" i="1"/>
  <c r="Y23" i="1" s="1"/>
  <c r="Y20" i="1"/>
  <c r="Y22" i="1"/>
  <c r="CQ27" i="2"/>
  <c r="GK27" i="2" s="1"/>
  <c r="FV27" i="2"/>
  <c r="Z20" i="1"/>
  <c r="Z22" i="1"/>
  <c r="Z19" i="1"/>
  <c r="Z23" i="1" s="1"/>
  <c r="MH24" i="1"/>
  <c r="FV13" i="2"/>
  <c r="CQ13" i="2"/>
  <c r="GK13" i="2" s="1"/>
  <c r="FV25" i="2"/>
  <c r="FV23" i="2"/>
  <c r="CQ23" i="2"/>
  <c r="GK23" i="2" s="1"/>
  <c r="FD4" i="2"/>
  <c r="N22" i="1"/>
  <c r="Q12" i="1"/>
  <c r="P12" i="1"/>
  <c r="MF12" i="1"/>
  <c r="O12" i="1"/>
  <c r="R12" i="1" s="1"/>
  <c r="CQ19" i="2"/>
  <c r="GK19" i="2" s="1"/>
  <c r="FV19" i="2"/>
  <c r="C12" i="2"/>
  <c r="MP10" i="1"/>
  <c r="MQ10" i="1" s="1"/>
  <c r="MR10" i="1" s="1"/>
  <c r="MH10" i="1"/>
  <c r="MI10" i="1" s="1"/>
  <c r="MG10" i="1"/>
  <c r="FV15" i="2"/>
  <c r="CQ15" i="2"/>
  <c r="GK15" i="2" s="1"/>
  <c r="CO29" i="2"/>
  <c r="CP13" i="2" s="1"/>
  <c r="FV4" i="2"/>
  <c r="CQ4" i="2"/>
  <c r="GK4" i="2" s="1"/>
  <c r="EU6" i="2"/>
  <c r="EU28" i="2"/>
  <c r="EU16" i="2"/>
  <c r="EU17" i="2"/>
  <c r="EU20" i="2"/>
  <c r="EU13" i="2"/>
  <c r="EU12" i="2"/>
  <c r="EU25" i="2"/>
  <c r="EU19" i="2"/>
  <c r="EU21" i="2"/>
  <c r="EU24" i="2"/>
  <c r="EU9" i="2"/>
  <c r="EU10" i="2"/>
  <c r="EU18" i="2"/>
  <c r="EU8" i="2"/>
  <c r="EU23" i="2"/>
  <c r="EU15" i="2"/>
  <c r="EU26" i="2"/>
  <c r="EU4" i="2"/>
  <c r="EU27" i="2"/>
  <c r="EU14" i="2"/>
  <c r="EU11" i="2"/>
  <c r="EU5" i="2"/>
  <c r="EU7" i="2"/>
  <c r="EU22" i="2"/>
  <c r="FX29" i="2"/>
  <c r="CQ18" i="2"/>
  <c r="GK18" i="2" s="1"/>
  <c r="FV18" i="2"/>
  <c r="FV21" i="2"/>
  <c r="CQ21" i="2"/>
  <c r="GK21" i="2" s="1"/>
  <c r="AX29" i="2"/>
  <c r="AY4" i="2" s="1"/>
  <c r="BN4" i="2" s="1"/>
  <c r="FT4" i="2"/>
  <c r="AZ4" i="2"/>
  <c r="GI4" i="2" s="1"/>
  <c r="CP4" i="2" l="1"/>
  <c r="ER4" i="2" s="1"/>
  <c r="CZ5" i="2"/>
  <c r="ER13" i="2"/>
  <c r="ES13" i="2" s="1"/>
  <c r="DJ13" i="2"/>
  <c r="FT29" i="2"/>
  <c r="AZ29" i="2"/>
  <c r="AY29" i="2"/>
  <c r="AY15" i="2"/>
  <c r="BN15" i="2" s="1"/>
  <c r="BO15" i="2" s="1"/>
  <c r="BR15" i="2" s="1"/>
  <c r="AY18" i="2"/>
  <c r="BN18" i="2" s="1"/>
  <c r="BO18" i="2" s="1"/>
  <c r="BR18" i="2" s="1"/>
  <c r="AY20" i="2"/>
  <c r="BN20" i="2" s="1"/>
  <c r="BO20" i="2" s="1"/>
  <c r="BR20" i="2" s="1"/>
  <c r="AY16" i="2"/>
  <c r="BN16" i="2" s="1"/>
  <c r="BO16" i="2" s="1"/>
  <c r="BR16" i="2" s="1"/>
  <c r="AY28" i="2"/>
  <c r="BN28" i="2" s="1"/>
  <c r="BO28" i="2" s="1"/>
  <c r="BR28" i="2" s="1"/>
  <c r="AY8" i="2"/>
  <c r="BN8" i="2" s="1"/>
  <c r="BO8" i="2" s="1"/>
  <c r="BR8" i="2" s="1"/>
  <c r="AY24" i="2"/>
  <c r="BN24" i="2" s="1"/>
  <c r="BO24" i="2" s="1"/>
  <c r="BR24" i="2" s="1"/>
  <c r="FU24" i="2" s="1"/>
  <c r="AY21" i="2"/>
  <c r="BN21" i="2" s="1"/>
  <c r="BO21" i="2" s="1"/>
  <c r="BR21" i="2" s="1"/>
  <c r="AY17" i="2"/>
  <c r="BN17" i="2" s="1"/>
  <c r="BO17" i="2" s="1"/>
  <c r="BR17" i="2" s="1"/>
  <c r="AY10" i="2"/>
  <c r="BN10" i="2" s="1"/>
  <c r="BO10" i="2" s="1"/>
  <c r="BR10" i="2" s="1"/>
  <c r="AY6" i="2"/>
  <c r="BN6" i="2" s="1"/>
  <c r="BO6" i="2" s="1"/>
  <c r="BR6" i="2" s="1"/>
  <c r="AY7" i="2"/>
  <c r="BN7" i="2" s="1"/>
  <c r="BO7" i="2" s="1"/>
  <c r="BR7" i="2" s="1"/>
  <c r="AY9" i="2"/>
  <c r="BN9" i="2" s="1"/>
  <c r="BO9" i="2" s="1"/>
  <c r="BR9" i="2" s="1"/>
  <c r="AY25" i="2"/>
  <c r="BN25" i="2" s="1"/>
  <c r="BO25" i="2" s="1"/>
  <c r="BR25" i="2" s="1"/>
  <c r="FU25" i="2" s="1"/>
  <c r="AY22" i="2"/>
  <c r="BN22" i="2" s="1"/>
  <c r="BO22" i="2" s="1"/>
  <c r="BR22" i="2" s="1"/>
  <c r="AY19" i="2"/>
  <c r="BN19" i="2" s="1"/>
  <c r="BO19" i="2" s="1"/>
  <c r="BR19" i="2" s="1"/>
  <c r="AY27" i="2"/>
  <c r="BN27" i="2" s="1"/>
  <c r="BO27" i="2" s="1"/>
  <c r="BR27" i="2" s="1"/>
  <c r="AY13" i="2"/>
  <c r="BN13" i="2" s="1"/>
  <c r="BO13" i="2" s="1"/>
  <c r="BR13" i="2" s="1"/>
  <c r="AY5" i="2"/>
  <c r="BN5" i="2" s="1"/>
  <c r="BO5" i="2" s="1"/>
  <c r="BR5" i="2" s="1"/>
  <c r="AY12" i="2"/>
  <c r="BN12" i="2" s="1"/>
  <c r="BO12" i="2" s="1"/>
  <c r="BR12" i="2" s="1"/>
  <c r="AY11" i="2"/>
  <c r="BN11" i="2" s="1"/>
  <c r="BO11" i="2" s="1"/>
  <c r="BR11" i="2" s="1"/>
  <c r="AY26" i="2"/>
  <c r="BN26" i="2" s="1"/>
  <c r="BO26" i="2" s="1"/>
  <c r="BR26" i="2" s="1"/>
  <c r="AY14" i="2"/>
  <c r="BN14" i="2" s="1"/>
  <c r="BO14" i="2" s="1"/>
  <c r="BR14" i="2" s="1"/>
  <c r="AY23" i="2"/>
  <c r="BN23" i="2" s="1"/>
  <c r="BO23" i="2" s="1"/>
  <c r="BR23" i="2" s="1"/>
  <c r="CP12" i="2"/>
  <c r="CP25" i="2"/>
  <c r="MH25" i="1"/>
  <c r="MG12" i="1"/>
  <c r="MP12" i="1"/>
  <c r="MQ12" i="1" s="1"/>
  <c r="MR12" i="1" s="1"/>
  <c r="BO4" i="2"/>
  <c r="BR4" i="2" s="1"/>
  <c r="FV29" i="2"/>
  <c r="CP27" i="2"/>
  <c r="FD5" i="2"/>
  <c r="FD6" i="2" s="1"/>
  <c r="FL29" i="2" s="1"/>
  <c r="FM29" i="2" s="1"/>
  <c r="E13" i="2"/>
  <c r="DB5" i="2"/>
  <c r="DA5" i="2"/>
  <c r="AA22" i="1"/>
  <c r="AA20" i="1"/>
  <c r="AA19" i="1"/>
  <c r="AA23" i="1" s="1"/>
  <c r="CQ29" i="2"/>
  <c r="CP10" i="2"/>
  <c r="CP8" i="2"/>
  <c r="CP6" i="2"/>
  <c r="CP5" i="2"/>
  <c r="CP20" i="2"/>
  <c r="CP9" i="2"/>
  <c r="CP24" i="2"/>
  <c r="CP11" i="2"/>
  <c r="CP16" i="2"/>
  <c r="CP14" i="2"/>
  <c r="CP22" i="2"/>
  <c r="CP7" i="2"/>
  <c r="CP26" i="2"/>
  <c r="CP28" i="2"/>
  <c r="CP17" i="2"/>
  <c r="Q22" i="1"/>
  <c r="P22" i="1"/>
  <c r="O22" i="1"/>
  <c r="R22" i="1" s="1"/>
  <c r="DJ4" i="2"/>
  <c r="MQ25" i="1"/>
  <c r="MR25" i="1" s="1"/>
  <c r="MP28" i="1"/>
  <c r="MQ28" i="1" s="1"/>
  <c r="MR28" i="1" s="1"/>
  <c r="CP19" i="2"/>
  <c r="MG28" i="1"/>
  <c r="MF30" i="1"/>
  <c r="CP23" i="2"/>
  <c r="CP18" i="2"/>
  <c r="CP21" i="2"/>
  <c r="GM29" i="2"/>
  <c r="C13" i="2"/>
  <c r="D12" i="2" s="1"/>
  <c r="CP15" i="2"/>
  <c r="FU16" i="2" l="1"/>
  <c r="BS16" i="2"/>
  <c r="GJ16" i="2" s="1"/>
  <c r="DJ20" i="2"/>
  <c r="ER20" i="2"/>
  <c r="ES20" i="2" s="1"/>
  <c r="DJ25" i="2"/>
  <c r="ER25" i="2"/>
  <c r="ES25" i="2" s="1"/>
  <c r="FU18" i="2"/>
  <c r="BS18" i="2"/>
  <c r="GJ18" i="2" s="1"/>
  <c r="ER12" i="2"/>
  <c r="ES12" i="2" s="1"/>
  <c r="DJ12" i="2"/>
  <c r="FU9" i="2"/>
  <c r="BS9" i="2"/>
  <c r="GJ9" i="2" s="1"/>
  <c r="FU15" i="2"/>
  <c r="BS15" i="2"/>
  <c r="GJ15" i="2" s="1"/>
  <c r="BS20" i="2"/>
  <c r="GJ20" i="2" s="1"/>
  <c r="FU20" i="2"/>
  <c r="FU23" i="2"/>
  <c r="BS23" i="2"/>
  <c r="GJ23" i="2" s="1"/>
  <c r="FU7" i="2"/>
  <c r="BS7" i="2"/>
  <c r="GJ7" i="2" s="1"/>
  <c r="DJ9" i="2"/>
  <c r="ER9" i="2"/>
  <c r="ES9" i="2" s="1"/>
  <c r="ER5" i="2"/>
  <c r="ES5" i="2" s="1"/>
  <c r="DJ5" i="2"/>
  <c r="DJ15" i="2"/>
  <c r="ER15" i="2"/>
  <c r="ES15" i="2" s="1"/>
  <c r="ER17" i="2"/>
  <c r="ES17" i="2" s="1"/>
  <c r="DJ17" i="2"/>
  <c r="ER6" i="2"/>
  <c r="ES6" i="2" s="1"/>
  <c r="DJ6" i="2"/>
  <c r="CZ6" i="2"/>
  <c r="DB6" i="2"/>
  <c r="DA6" i="2"/>
  <c r="DJ28" i="2"/>
  <c r="ER28" i="2"/>
  <c r="ES28" i="2" s="1"/>
  <c r="DJ8" i="2"/>
  <c r="ER8" i="2"/>
  <c r="ES8" i="2" s="1"/>
  <c r="FU14" i="2"/>
  <c r="BS14" i="2"/>
  <c r="GJ14" i="2" s="1"/>
  <c r="FU6" i="2"/>
  <c r="BS6" i="2"/>
  <c r="GJ6" i="2" s="1"/>
  <c r="ER24" i="2"/>
  <c r="ES24" i="2" s="1"/>
  <c r="DJ24" i="2"/>
  <c r="DJ19" i="2"/>
  <c r="ER19" i="2"/>
  <c r="ES19" i="2" s="1"/>
  <c r="D7" i="2"/>
  <c r="D6" i="2"/>
  <c r="D4" i="2"/>
  <c r="D9" i="2"/>
  <c r="D10" i="2"/>
  <c r="D5" i="2"/>
  <c r="D8" i="2"/>
  <c r="D11" i="2"/>
  <c r="ES4" i="2"/>
  <c r="DJ26" i="2"/>
  <c r="ER26" i="2"/>
  <c r="ES26" i="2" s="1"/>
  <c r="DJ10" i="2"/>
  <c r="ER10" i="2"/>
  <c r="ES10" i="2" s="1"/>
  <c r="DJ27" i="2"/>
  <c r="ER27" i="2"/>
  <c r="ES27" i="2" s="1"/>
  <c r="BS26" i="2"/>
  <c r="GJ26" i="2" s="1"/>
  <c r="FU26" i="2"/>
  <c r="FU10" i="2"/>
  <c r="BS10" i="2"/>
  <c r="GJ10" i="2" s="1"/>
  <c r="MH28" i="1"/>
  <c r="MI25" i="1"/>
  <c r="ER7" i="2"/>
  <c r="ES7" i="2" s="1"/>
  <c r="DJ7" i="2"/>
  <c r="GK29" i="2"/>
  <c r="BS11" i="2"/>
  <c r="GJ11" i="2" s="1"/>
  <c r="FU11" i="2"/>
  <c r="BS17" i="2"/>
  <c r="GJ17" i="2" s="1"/>
  <c r="FU17" i="2"/>
  <c r="FU22" i="2"/>
  <c r="BS22" i="2"/>
  <c r="GJ22" i="2" s="1"/>
  <c r="CP29" i="2"/>
  <c r="DJ22" i="2"/>
  <c r="ER22" i="2"/>
  <c r="ES22" i="2" s="1"/>
  <c r="FU4" i="2"/>
  <c r="BS4" i="2"/>
  <c r="GJ4" i="2" s="1"/>
  <c r="FU12" i="2"/>
  <c r="BS12" i="2"/>
  <c r="GJ12" i="2" s="1"/>
  <c r="FU21" i="2"/>
  <c r="BS21" i="2"/>
  <c r="GJ21" i="2" s="1"/>
  <c r="DJ14" i="2"/>
  <c r="ER14" i="2"/>
  <c r="ES14" i="2" s="1"/>
  <c r="BN29" i="2"/>
  <c r="BS5" i="2"/>
  <c r="GJ5" i="2" s="1"/>
  <c r="FU5" i="2"/>
  <c r="GI29" i="2"/>
  <c r="BS19" i="2"/>
  <c r="GJ19" i="2" s="1"/>
  <c r="FU19" i="2"/>
  <c r="DJ21" i="2"/>
  <c r="ER21" i="2"/>
  <c r="ES21" i="2" s="1"/>
  <c r="DJ18" i="2"/>
  <c r="ER18" i="2"/>
  <c r="ES18" i="2" s="1"/>
  <c r="ER16" i="2"/>
  <c r="ES16" i="2" s="1"/>
  <c r="DJ16" i="2"/>
  <c r="FU13" i="2"/>
  <c r="BS13" i="2"/>
  <c r="GJ13" i="2" s="1"/>
  <c r="FU8" i="2"/>
  <c r="BS8" i="2"/>
  <c r="GJ8" i="2" s="1"/>
  <c r="MP30" i="1"/>
  <c r="MQ30" i="1" s="1"/>
  <c r="MR30" i="1" s="1"/>
  <c r="MG30" i="1"/>
  <c r="MF32" i="1"/>
  <c r="MP32" i="1" s="1"/>
  <c r="MQ32" i="1" s="1"/>
  <c r="MH9" i="1"/>
  <c r="DJ23" i="2"/>
  <c r="ER23" i="2"/>
  <c r="ES23" i="2" s="1"/>
  <c r="ER11" i="2"/>
  <c r="ES11" i="2" s="1"/>
  <c r="DJ11" i="2"/>
  <c r="FU27" i="2"/>
  <c r="BS27" i="2"/>
  <c r="GJ27" i="2" s="1"/>
  <c r="FU28" i="2"/>
  <c r="BS28" i="2"/>
  <c r="GJ28" i="2" s="1"/>
  <c r="DJ29" i="2" l="1"/>
  <c r="MH30" i="1"/>
  <c r="MI30" i="1" s="1"/>
  <c r="MI28" i="1"/>
  <c r="ER29" i="2"/>
  <c r="MH32" i="1"/>
  <c r="MH12" i="1"/>
  <c r="MI9" i="1"/>
  <c r="MH7" i="1"/>
  <c r="MI7" i="1" s="1"/>
  <c r="D13" i="2"/>
  <c r="FU29" i="2"/>
  <c r="DB4" i="2"/>
  <c r="DB7" i="2" s="1"/>
  <c r="DO29" i="2" s="1"/>
  <c r="DC7" i="2"/>
  <c r="DA4" i="2"/>
  <c r="DA7" i="2" s="1"/>
  <c r="DM29" i="2" s="1"/>
  <c r="CZ4" i="2"/>
  <c r="CZ7" i="2" s="1"/>
  <c r="DK29" i="2" l="1"/>
  <c r="GJ29" i="2"/>
  <c r="DM10" i="2"/>
  <c r="DM11" i="2"/>
  <c r="DM8" i="2"/>
  <c r="DM18" i="2"/>
  <c r="DM19" i="2"/>
  <c r="DM13" i="2"/>
  <c r="DM23" i="2"/>
  <c r="DM14" i="2"/>
  <c r="DM9" i="2"/>
  <c r="DM21" i="2"/>
  <c r="DM27" i="2"/>
  <c r="DM7" i="2"/>
  <c r="DM25" i="2"/>
  <c r="DM22" i="2"/>
  <c r="DM16" i="2"/>
  <c r="DM24" i="2"/>
  <c r="DM17" i="2"/>
  <c r="DM20" i="2"/>
  <c r="DM12" i="2"/>
  <c r="DM4" i="2"/>
  <c r="DM15" i="2"/>
  <c r="DM5" i="2"/>
  <c r="DM6" i="2"/>
  <c r="DM28" i="2"/>
  <c r="DM26" i="2"/>
  <c r="MI12" i="1"/>
  <c r="DO6" i="2"/>
  <c r="DO8" i="2"/>
  <c r="DO10" i="2"/>
  <c r="DO19" i="2"/>
  <c r="DO15" i="2"/>
  <c r="DO4" i="2"/>
  <c r="DO25" i="2"/>
  <c r="DO28" i="2"/>
  <c r="DO20" i="2"/>
  <c r="DO16" i="2"/>
  <c r="DO18" i="2"/>
  <c r="DO14" i="2"/>
  <c r="DO22" i="2"/>
  <c r="DO13" i="2"/>
  <c r="DO23" i="2"/>
  <c r="DO5" i="2"/>
  <c r="DO27" i="2"/>
  <c r="DO26" i="2"/>
  <c r="DO7" i="2"/>
  <c r="DO11" i="2"/>
  <c r="DO9" i="2"/>
  <c r="DO21" i="2"/>
  <c r="DO24" i="2"/>
  <c r="DO17" i="2"/>
  <c r="DO12" i="2"/>
  <c r="DK13" i="2" l="1"/>
  <c r="DP13" i="2" s="1"/>
  <c r="DK4" i="2"/>
  <c r="DP4" i="2" s="1"/>
  <c r="DK5" i="2"/>
  <c r="DP5" i="2" s="1"/>
  <c r="DK7" i="2"/>
  <c r="DP7" i="2" s="1"/>
  <c r="DK16" i="2"/>
  <c r="DP16" i="2" s="1"/>
  <c r="DK23" i="2"/>
  <c r="DP23" i="2" s="1"/>
  <c r="DK14" i="2"/>
  <c r="DP14" i="2" s="1"/>
  <c r="DK20" i="2"/>
  <c r="DP20" i="2" s="1"/>
  <c r="DK8" i="2"/>
  <c r="DP8" i="2" s="1"/>
  <c r="DK18" i="2"/>
  <c r="DP18" i="2" s="1"/>
  <c r="DK17" i="2"/>
  <c r="DP17" i="2" s="1"/>
  <c r="DK25" i="2"/>
  <c r="DP25" i="2" s="1"/>
  <c r="DK9" i="2"/>
  <c r="DP9" i="2" s="1"/>
  <c r="DK10" i="2"/>
  <c r="DP10" i="2" s="1"/>
  <c r="DK28" i="2"/>
  <c r="DP28" i="2" s="1"/>
  <c r="DK12" i="2"/>
  <c r="DP12" i="2" s="1"/>
  <c r="DK6" i="2"/>
  <c r="DP6" i="2" s="1"/>
  <c r="DK26" i="2"/>
  <c r="DP26" i="2" s="1"/>
  <c r="DK19" i="2"/>
  <c r="DP19" i="2" s="1"/>
  <c r="DK24" i="2"/>
  <c r="DP24" i="2" s="1"/>
  <c r="DK15" i="2"/>
  <c r="DP15" i="2" s="1"/>
  <c r="DK22" i="2"/>
  <c r="DP22" i="2" s="1"/>
  <c r="DK21" i="2"/>
  <c r="DP21" i="2" s="1"/>
  <c r="DK11" i="2"/>
  <c r="DP11" i="2" s="1"/>
  <c r="DK27" i="2"/>
  <c r="DP27" i="2" s="1"/>
  <c r="FW17" i="2" l="1"/>
  <c r="DR17" i="2"/>
  <c r="GL17" i="2" s="1"/>
  <c r="FW22" i="2"/>
  <c r="DR22" i="2"/>
  <c r="GL22" i="2" s="1"/>
  <c r="DR18" i="2"/>
  <c r="GL18" i="2" s="1"/>
  <c r="FW18" i="2"/>
  <c r="DR15" i="2"/>
  <c r="GL15" i="2" s="1"/>
  <c r="FW15" i="2"/>
  <c r="DR8" i="2"/>
  <c r="GL8" i="2" s="1"/>
  <c r="FW8" i="2"/>
  <c r="FW21" i="2"/>
  <c r="DR21" i="2"/>
  <c r="GL21" i="2" s="1"/>
  <c r="FW24" i="2"/>
  <c r="DR20" i="2"/>
  <c r="GL20" i="2" s="1"/>
  <c r="FW20" i="2"/>
  <c r="DR19" i="2"/>
  <c r="GL19" i="2" s="1"/>
  <c r="FW19" i="2"/>
  <c r="FW14" i="2"/>
  <c r="DR14" i="2"/>
  <c r="GL14" i="2" s="1"/>
  <c r="FW26" i="2"/>
  <c r="DR26" i="2"/>
  <c r="GL26" i="2" s="1"/>
  <c r="FW23" i="2"/>
  <c r="DR23" i="2"/>
  <c r="GL23" i="2" s="1"/>
  <c r="DR6" i="2"/>
  <c r="GL6" i="2" s="1"/>
  <c r="FW6" i="2"/>
  <c r="DR16" i="2"/>
  <c r="GL16" i="2" s="1"/>
  <c r="FW16" i="2"/>
  <c r="FW12" i="2"/>
  <c r="DR12" i="2"/>
  <c r="GL12" i="2" s="1"/>
  <c r="FW7" i="2"/>
  <c r="DR7" i="2"/>
  <c r="GL7" i="2" s="1"/>
  <c r="FW28" i="2"/>
  <c r="DR28" i="2"/>
  <c r="GL28" i="2" s="1"/>
  <c r="FW5" i="2"/>
  <c r="DR5" i="2"/>
  <c r="GL5" i="2" s="1"/>
  <c r="FW10" i="2"/>
  <c r="DR10" i="2"/>
  <c r="GL10" i="2" s="1"/>
  <c r="DP29" i="2"/>
  <c r="DR29" i="2" s="1"/>
  <c r="FW4" i="2"/>
  <c r="DR4" i="2"/>
  <c r="GL4" i="2" s="1"/>
  <c r="FW27" i="2"/>
  <c r="DR27" i="2"/>
  <c r="GL27" i="2" s="1"/>
  <c r="FW9" i="2"/>
  <c r="DR9" i="2"/>
  <c r="GL9" i="2" s="1"/>
  <c r="FW13" i="2"/>
  <c r="DR13" i="2"/>
  <c r="GL13" i="2" s="1"/>
  <c r="DR11" i="2"/>
  <c r="GL11" i="2" s="1"/>
  <c r="FW11" i="2"/>
  <c r="FW25" i="2"/>
  <c r="DQ4" i="2" l="1"/>
  <c r="DQ25" i="2"/>
  <c r="DQ26" i="2"/>
  <c r="DQ12" i="2"/>
  <c r="DQ15" i="2"/>
  <c r="DQ13" i="2"/>
  <c r="DQ19" i="2"/>
  <c r="DQ11" i="2"/>
  <c r="DQ6" i="2"/>
  <c r="DQ10" i="2"/>
  <c r="DQ27" i="2"/>
  <c r="DQ28" i="2"/>
  <c r="X20" i="2"/>
  <c r="X11" i="2"/>
  <c r="X23" i="2"/>
  <c r="DQ7" i="2"/>
  <c r="DQ23" i="2"/>
  <c r="DQ20" i="2"/>
  <c r="Y18" i="2"/>
  <c r="X18" i="2"/>
  <c r="Y10" i="2"/>
  <c r="X10" i="2"/>
  <c r="Y12" i="2"/>
  <c r="X12" i="2"/>
  <c r="X26" i="2"/>
  <c r="DQ24" i="2"/>
  <c r="DQ18" i="2"/>
  <c r="FW29" i="2"/>
  <c r="Y22" i="2" s="1"/>
  <c r="X4" i="2"/>
  <c r="X13" i="2"/>
  <c r="Y13" i="2"/>
  <c r="Y21" i="2"/>
  <c r="X21" i="2"/>
  <c r="X22" i="2"/>
  <c r="X15" i="2"/>
  <c r="X7" i="2"/>
  <c r="X24" i="2"/>
  <c r="X9" i="2"/>
  <c r="X16" i="2"/>
  <c r="DQ9" i="2"/>
  <c r="X5" i="2"/>
  <c r="X14" i="2"/>
  <c r="DQ21" i="2"/>
  <c r="DQ22" i="2"/>
  <c r="DQ5" i="2"/>
  <c r="DQ16" i="2"/>
  <c r="DQ14" i="2"/>
  <c r="X8" i="2"/>
  <c r="X25" i="2"/>
  <c r="X27" i="2"/>
  <c r="X6" i="2"/>
  <c r="Y19" i="2"/>
  <c r="X19" i="2"/>
  <c r="X17" i="2"/>
  <c r="X28" i="2"/>
  <c r="DQ8" i="2"/>
  <c r="DQ17" i="2"/>
  <c r="Y16" i="2" l="1"/>
  <c r="Y4" i="2"/>
  <c r="Y9" i="2"/>
  <c r="FL9" i="2" s="1"/>
  <c r="Y25" i="2"/>
  <c r="EP25" i="2" s="1"/>
  <c r="EQ25" i="2" s="1"/>
  <c r="EV25" i="2" s="1"/>
  <c r="Y20" i="2"/>
  <c r="FK20" i="2" s="1"/>
  <c r="Y8" i="2"/>
  <c r="Y24" i="2"/>
  <c r="Y28" i="2"/>
  <c r="FL28" i="2" s="1"/>
  <c r="Y17" i="2"/>
  <c r="EP17" i="2" s="1"/>
  <c r="EQ17" i="2" s="1"/>
  <c r="EV17" i="2" s="1"/>
  <c r="Y7" i="2"/>
  <c r="EP7" i="2" s="1"/>
  <c r="EQ7" i="2" s="1"/>
  <c r="EV7" i="2" s="1"/>
  <c r="Y6" i="2"/>
  <c r="EP6" i="2" s="1"/>
  <c r="EQ6" i="2" s="1"/>
  <c r="EV6" i="2" s="1"/>
  <c r="DQ29" i="2"/>
  <c r="Y27" i="2"/>
  <c r="FL27" i="2" s="1"/>
  <c r="Y14" i="2"/>
  <c r="FK14" i="2" s="1"/>
  <c r="Y15" i="2"/>
  <c r="FK15" i="2" s="1"/>
  <c r="Y26" i="2"/>
  <c r="FL26" i="2" s="1"/>
  <c r="Y11" i="2"/>
  <c r="FK11" i="2" s="1"/>
  <c r="Y5" i="2"/>
  <c r="EP5" i="2" s="1"/>
  <c r="EQ5" i="2" s="1"/>
  <c r="EV5" i="2" s="1"/>
  <c r="FL8" i="2"/>
  <c r="FK8" i="2"/>
  <c r="EP8" i="2"/>
  <c r="EQ8" i="2" s="1"/>
  <c r="EV8" i="2" s="1"/>
  <c r="FL24" i="2"/>
  <c r="FZ24" i="2" s="1"/>
  <c r="FK24" i="2"/>
  <c r="EP24" i="2"/>
  <c r="EQ24" i="2" s="1"/>
  <c r="EV24" i="2" s="1"/>
  <c r="FK10" i="2"/>
  <c r="FL10" i="2"/>
  <c r="EP10" i="2"/>
  <c r="EQ10" i="2" s="1"/>
  <c r="EV10" i="2" s="1"/>
  <c r="FK13" i="2"/>
  <c r="FL13" i="2"/>
  <c r="EP13" i="2"/>
  <c r="EQ13" i="2" s="1"/>
  <c r="EV13" i="2" s="1"/>
  <c r="FK21" i="2"/>
  <c r="FL21" i="2"/>
  <c r="EP21" i="2"/>
  <c r="EQ21" i="2" s="1"/>
  <c r="EV21" i="2" s="1"/>
  <c r="FL16" i="2"/>
  <c r="FK16" i="2"/>
  <c r="EP16" i="2"/>
  <c r="EQ16" i="2" s="1"/>
  <c r="EV16" i="2" s="1"/>
  <c r="FL12" i="2"/>
  <c r="FK12" i="2"/>
  <c r="EP12" i="2"/>
  <c r="EQ12" i="2" s="1"/>
  <c r="EV12" i="2" s="1"/>
  <c r="FK18" i="2"/>
  <c r="FL18" i="2"/>
  <c r="EP18" i="2"/>
  <c r="EQ18" i="2" s="1"/>
  <c r="EV18" i="2" s="1"/>
  <c r="FL20" i="2"/>
  <c r="EP20" i="2"/>
  <c r="EQ20" i="2" s="1"/>
  <c r="EV20" i="2" s="1"/>
  <c r="X29" i="2"/>
  <c r="FL19" i="2"/>
  <c r="FK19" i="2"/>
  <c r="EP19" i="2"/>
  <c r="EQ19" i="2" s="1"/>
  <c r="EV19" i="2" s="1"/>
  <c r="FK22" i="2"/>
  <c r="FL22" i="2"/>
  <c r="EP22" i="2"/>
  <c r="EQ22" i="2" s="1"/>
  <c r="EV22" i="2" s="1"/>
  <c r="EP4" i="2"/>
  <c r="FL4" i="2"/>
  <c r="FK4" i="2"/>
  <c r="GL29" i="2"/>
  <c r="Y23" i="2"/>
  <c r="EP9" i="2" l="1"/>
  <c r="EQ9" i="2" s="1"/>
  <c r="EV9" i="2" s="1"/>
  <c r="FK9" i="2"/>
  <c r="EP28" i="2"/>
  <c r="EQ28" i="2" s="1"/>
  <c r="EV28" i="2" s="1"/>
  <c r="FK25" i="2"/>
  <c r="FL25" i="2"/>
  <c r="FZ25" i="2" s="1"/>
  <c r="FK28" i="2"/>
  <c r="FK7" i="2"/>
  <c r="FK17" i="2"/>
  <c r="FL6" i="2"/>
  <c r="FL17" i="2"/>
  <c r="FZ17" i="2" s="1"/>
  <c r="FL7" i="2"/>
  <c r="FK6" i="2"/>
  <c r="EP27" i="2"/>
  <c r="EQ27" i="2" s="1"/>
  <c r="EV27" i="2" s="1"/>
  <c r="EX27" i="2" s="1"/>
  <c r="GN27" i="2" s="1"/>
  <c r="EP15" i="2"/>
  <c r="EQ15" i="2" s="1"/>
  <c r="EV15" i="2" s="1"/>
  <c r="FY15" i="2" s="1"/>
  <c r="FK27" i="2"/>
  <c r="FK5" i="2"/>
  <c r="Y29" i="2"/>
  <c r="FK29" i="2" s="1"/>
  <c r="FL15" i="2"/>
  <c r="FZ15" i="2" s="1"/>
  <c r="EP14" i="2"/>
  <c r="EQ14" i="2" s="1"/>
  <c r="EV14" i="2" s="1"/>
  <c r="EX14" i="2" s="1"/>
  <c r="GN14" i="2" s="1"/>
  <c r="FL11" i="2"/>
  <c r="FM11" i="2" s="1"/>
  <c r="GO11" i="2" s="1"/>
  <c r="EP26" i="2"/>
  <c r="EQ26" i="2" s="1"/>
  <c r="EV26" i="2" s="1"/>
  <c r="FY26" i="2" s="1"/>
  <c r="FL14" i="2"/>
  <c r="FM14" i="2" s="1"/>
  <c r="GO14" i="2" s="1"/>
  <c r="FL5" i="2"/>
  <c r="FZ5" i="2" s="1"/>
  <c r="FK26" i="2"/>
  <c r="EP11" i="2"/>
  <c r="EQ11" i="2" s="1"/>
  <c r="EV11" i="2" s="1"/>
  <c r="FY11" i="2" s="1"/>
  <c r="FZ12" i="2"/>
  <c r="FM12" i="2"/>
  <c r="GO12" i="2" s="1"/>
  <c r="FM16" i="2"/>
  <c r="GO16" i="2" s="1"/>
  <c r="FZ16" i="2"/>
  <c r="FY25" i="2"/>
  <c r="GA25" i="2" s="1"/>
  <c r="GY25" i="2" s="1"/>
  <c r="FY21" i="2"/>
  <c r="EX21" i="2"/>
  <c r="GN21" i="2" s="1"/>
  <c r="FY10" i="2"/>
  <c r="EX10" i="2"/>
  <c r="GN10" i="2" s="1"/>
  <c r="EQ4" i="2"/>
  <c r="EV4" i="2" s="1"/>
  <c r="FM18" i="2"/>
  <c r="GO18" i="2" s="1"/>
  <c r="FZ18" i="2"/>
  <c r="FZ21" i="2"/>
  <c r="FM21" i="2"/>
  <c r="GO21" i="2" s="1"/>
  <c r="FZ10" i="2"/>
  <c r="FM10" i="2"/>
  <c r="GO10" i="2" s="1"/>
  <c r="FY22" i="2"/>
  <c r="EX22" i="2"/>
  <c r="GN22" i="2" s="1"/>
  <c r="FM9" i="2"/>
  <c r="GO9" i="2" s="1"/>
  <c r="FZ9" i="2"/>
  <c r="FY24" i="2"/>
  <c r="GA24" i="2" s="1"/>
  <c r="GY24" i="2" s="1"/>
  <c r="FY17" i="2"/>
  <c r="EX17" i="2"/>
  <c r="GN17" i="2" s="1"/>
  <c r="FY9" i="2"/>
  <c r="EX9" i="2"/>
  <c r="GN9" i="2" s="1"/>
  <c r="FL23" i="2"/>
  <c r="FK23" i="2"/>
  <c r="EP23" i="2"/>
  <c r="EQ23" i="2" s="1"/>
  <c r="EV23" i="2" s="1"/>
  <c r="FY5" i="2"/>
  <c r="EX5" i="2"/>
  <c r="GN5" i="2" s="1"/>
  <c r="FZ7" i="2"/>
  <c r="FM7" i="2"/>
  <c r="GO7" i="2" s="1"/>
  <c r="FZ26" i="2"/>
  <c r="FM26" i="2"/>
  <c r="GO26" i="2" s="1"/>
  <c r="FY12" i="2"/>
  <c r="EX12" i="2"/>
  <c r="GN12" i="2" s="1"/>
  <c r="FZ22" i="2"/>
  <c r="FM22" i="2"/>
  <c r="GO22" i="2" s="1"/>
  <c r="FY19" i="2"/>
  <c r="EX19" i="2"/>
  <c r="GN19" i="2" s="1"/>
  <c r="EX20" i="2"/>
  <c r="GN20" i="2" s="1"/>
  <c r="FY20" i="2"/>
  <c r="FM20" i="2"/>
  <c r="GO20" i="2" s="1"/>
  <c r="FZ20" i="2"/>
  <c r="FY13" i="2"/>
  <c r="EX13" i="2"/>
  <c r="GN13" i="2" s="1"/>
  <c r="EX8" i="2"/>
  <c r="GN8" i="2" s="1"/>
  <c r="FY8" i="2"/>
  <c r="FY16" i="2"/>
  <c r="EX16" i="2"/>
  <c r="GN16" i="2" s="1"/>
  <c r="FY28" i="2"/>
  <c r="EX28" i="2"/>
  <c r="GN28" i="2" s="1"/>
  <c r="FM19" i="2"/>
  <c r="GO19" i="2" s="1"/>
  <c r="FZ19" i="2"/>
  <c r="FZ28" i="2"/>
  <c r="FM28" i="2"/>
  <c r="GO28" i="2" s="1"/>
  <c r="FZ6" i="2"/>
  <c r="FM6" i="2"/>
  <c r="GO6" i="2" s="1"/>
  <c r="FZ13" i="2"/>
  <c r="FM13" i="2"/>
  <c r="GO13" i="2" s="1"/>
  <c r="EX18" i="2"/>
  <c r="GN18" i="2" s="1"/>
  <c r="FY18" i="2"/>
  <c r="FY7" i="2"/>
  <c r="EX7" i="2"/>
  <c r="GN7" i="2" s="1"/>
  <c r="FY6" i="2"/>
  <c r="EX6" i="2"/>
  <c r="GN6" i="2" s="1"/>
  <c r="FM4" i="2"/>
  <c r="GO4" i="2" s="1"/>
  <c r="FZ4" i="2"/>
  <c r="FZ27" i="2"/>
  <c r="FM27" i="2"/>
  <c r="GO27" i="2" s="1"/>
  <c r="FZ8" i="2"/>
  <c r="FM8" i="2"/>
  <c r="GO8" i="2" s="1"/>
  <c r="FY27" i="2" l="1"/>
  <c r="FM17" i="2"/>
  <c r="GO17" i="2" s="1"/>
  <c r="FZ11" i="2"/>
  <c r="FY14" i="2"/>
  <c r="EX15" i="2"/>
  <c r="GN15" i="2" s="1"/>
  <c r="GA16" i="2"/>
  <c r="GB16" i="2" s="1"/>
  <c r="GP16" i="2" s="1"/>
  <c r="EX26" i="2"/>
  <c r="GN26" i="2" s="1"/>
  <c r="FM15" i="2"/>
  <c r="GO15" i="2" s="1"/>
  <c r="FM5" i="2"/>
  <c r="GO5" i="2" s="1"/>
  <c r="EX11" i="2"/>
  <c r="GN11" i="2" s="1"/>
  <c r="FZ14" i="2"/>
  <c r="GA18" i="2"/>
  <c r="GB18" i="2" s="1"/>
  <c r="GP18" i="2" s="1"/>
  <c r="GA21" i="2"/>
  <c r="GY21" i="2" s="1"/>
  <c r="GA12" i="2"/>
  <c r="GY12" i="2" s="1"/>
  <c r="GA22" i="2"/>
  <c r="GB22" i="2" s="1"/>
  <c r="GP22" i="2" s="1"/>
  <c r="GA20" i="2"/>
  <c r="GY20" i="2" s="1"/>
  <c r="GA8" i="2"/>
  <c r="GB8" i="2" s="1"/>
  <c r="GP8" i="2" s="1"/>
  <c r="GA13" i="2"/>
  <c r="GY13" i="2" s="1"/>
  <c r="GA6" i="2"/>
  <c r="GY6" i="2" s="1"/>
  <c r="GA11" i="2"/>
  <c r="GY11" i="2" s="1"/>
  <c r="IR24" i="2"/>
  <c r="IX24" i="2" s="1"/>
  <c r="HC24" i="2"/>
  <c r="GA5" i="2"/>
  <c r="FY23" i="2"/>
  <c r="EX23" i="2"/>
  <c r="GN23" i="2" s="1"/>
  <c r="IR25" i="2"/>
  <c r="IX25" i="2" s="1"/>
  <c r="HC25" i="2"/>
  <c r="GA7" i="2"/>
  <c r="FZ23" i="2"/>
  <c r="FM23" i="2"/>
  <c r="GO23" i="2" s="1"/>
  <c r="GA28" i="2"/>
  <c r="GA27" i="2"/>
  <c r="GA9" i="2"/>
  <c r="EV29" i="2"/>
  <c r="EW23" i="2" s="1"/>
  <c r="FY4" i="2"/>
  <c r="EX4" i="2"/>
  <c r="GN4" i="2" s="1"/>
  <c r="GA15" i="2"/>
  <c r="EP29" i="2"/>
  <c r="GA19" i="2"/>
  <c r="GA26" i="2"/>
  <c r="GA17" i="2"/>
  <c r="GA10" i="2"/>
  <c r="GA14" i="2" l="1"/>
  <c r="GB14" i="2" s="1"/>
  <c r="GP14" i="2" s="1"/>
  <c r="GY16" i="2"/>
  <c r="GY14" i="2"/>
  <c r="GY18" i="2"/>
  <c r="IR18" i="2" s="1"/>
  <c r="IX18" i="2" s="1"/>
  <c r="IY18" i="2" s="1"/>
  <c r="FZ29" i="2"/>
  <c r="GO29" i="2" s="1"/>
  <c r="GB12" i="2"/>
  <c r="GP12" i="2" s="1"/>
  <c r="GB21" i="2"/>
  <c r="GP21" i="2" s="1"/>
  <c r="GB13" i="2"/>
  <c r="GP13" i="2" s="1"/>
  <c r="GA23" i="2"/>
  <c r="GY23" i="2" s="1"/>
  <c r="GY22" i="2"/>
  <c r="IR22" i="2" s="1"/>
  <c r="IX22" i="2" s="1"/>
  <c r="IY22" i="2" s="1"/>
  <c r="GB20" i="2"/>
  <c r="GP20" i="2" s="1"/>
  <c r="GB6" i="2"/>
  <c r="GP6" i="2" s="1"/>
  <c r="GB11" i="2"/>
  <c r="GP11" i="2" s="1"/>
  <c r="GY8" i="2"/>
  <c r="IR8" i="2" s="1"/>
  <c r="IX8" i="2" s="1"/>
  <c r="IY8" i="2" s="1"/>
  <c r="IR6" i="2"/>
  <c r="IX6" i="2" s="1"/>
  <c r="IY6" i="2" s="1"/>
  <c r="HA6" i="2"/>
  <c r="GY9" i="2"/>
  <c r="GB9" i="2"/>
  <c r="GP9" i="2" s="1"/>
  <c r="GY10" i="2"/>
  <c r="GB10" i="2"/>
  <c r="GP10" i="2" s="1"/>
  <c r="IR13" i="2"/>
  <c r="IX13" i="2" s="1"/>
  <c r="IY13" i="2" s="1"/>
  <c r="HA13" i="2"/>
  <c r="IR16" i="2"/>
  <c r="IX16" i="2" s="1"/>
  <c r="IY16" i="2" s="1"/>
  <c r="HA16" i="2"/>
  <c r="IR21" i="2"/>
  <c r="IX21" i="2" s="1"/>
  <c r="IY21" i="2" s="1"/>
  <c r="HA21" i="2"/>
  <c r="EX29" i="2"/>
  <c r="EW19" i="2"/>
  <c r="EW6" i="2"/>
  <c r="EW15" i="2"/>
  <c r="EW27" i="2"/>
  <c r="EW9" i="2"/>
  <c r="EW12" i="2"/>
  <c r="EW14" i="2"/>
  <c r="EW11" i="2"/>
  <c r="EW13" i="2"/>
  <c r="EW8" i="2"/>
  <c r="EW20" i="2"/>
  <c r="EW18" i="2"/>
  <c r="EW25" i="2"/>
  <c r="EW28" i="2"/>
  <c r="EW21" i="2"/>
  <c r="EW5" i="2"/>
  <c r="EW7" i="2"/>
  <c r="EW17" i="2"/>
  <c r="EW24" i="2"/>
  <c r="EW22" i="2"/>
  <c r="EW26" i="2"/>
  <c r="EW16" i="2"/>
  <c r="EW10" i="2"/>
  <c r="IR12" i="2"/>
  <c r="IX12" i="2" s="1"/>
  <c r="IY12" i="2" s="1"/>
  <c r="HA12" i="2"/>
  <c r="IR11" i="2"/>
  <c r="IX11" i="2" s="1"/>
  <c r="IY11" i="2" s="1"/>
  <c r="HA11" i="2"/>
  <c r="GY5" i="2"/>
  <c r="GB5" i="2"/>
  <c r="GP5" i="2" s="1"/>
  <c r="GY27" i="2"/>
  <c r="GB27" i="2"/>
  <c r="GP27" i="2" s="1"/>
  <c r="IR20" i="2"/>
  <c r="IX20" i="2" s="1"/>
  <c r="IY20" i="2" s="1"/>
  <c r="HA20" i="2"/>
  <c r="GY7" i="2"/>
  <c r="GB7" i="2"/>
  <c r="GP7" i="2" s="1"/>
  <c r="GY17" i="2"/>
  <c r="GB17" i="2"/>
  <c r="GP17" i="2" s="1"/>
  <c r="IR14" i="2"/>
  <c r="IX14" i="2" s="1"/>
  <c r="IY14" i="2" s="1"/>
  <c r="HA14" i="2"/>
  <c r="HI5" i="2"/>
  <c r="GY26" i="2"/>
  <c r="GB26" i="2"/>
  <c r="GP26" i="2" s="1"/>
  <c r="FY29" i="2"/>
  <c r="GA4" i="2"/>
  <c r="GY28" i="2"/>
  <c r="GB28" i="2"/>
  <c r="GP28" i="2" s="1"/>
  <c r="GY15" i="2"/>
  <c r="GB15" i="2"/>
  <c r="GP15" i="2" s="1"/>
  <c r="GY19" i="2"/>
  <c r="GB19" i="2"/>
  <c r="GP19" i="2" s="1"/>
  <c r="EW4" i="2"/>
  <c r="HA22" i="2" l="1"/>
  <c r="HA18" i="2"/>
  <c r="GB23" i="2"/>
  <c r="GP23" i="2" s="1"/>
  <c r="HA8" i="2"/>
  <c r="HT8" i="2" s="1"/>
  <c r="IR17" i="2"/>
  <c r="IX17" i="2" s="1"/>
  <c r="HA17" i="2"/>
  <c r="IR27" i="2"/>
  <c r="IX27" i="2" s="1"/>
  <c r="IY27" i="2" s="1"/>
  <c r="HA27" i="2"/>
  <c r="IR15" i="2"/>
  <c r="IX15" i="2" s="1"/>
  <c r="IY15" i="2" s="1"/>
  <c r="HA15" i="2"/>
  <c r="HT13" i="2"/>
  <c r="IT13" i="2"/>
  <c r="JB13" i="2" s="1"/>
  <c r="HB13" i="2"/>
  <c r="HC13" i="2" s="1"/>
  <c r="IR23" i="2"/>
  <c r="IX23" i="2" s="1"/>
  <c r="HA23" i="2"/>
  <c r="IR5" i="2"/>
  <c r="IX5" i="2" s="1"/>
  <c r="IY5" i="2" s="1"/>
  <c r="HA5" i="2"/>
  <c r="JJ13" i="2"/>
  <c r="IZ13" i="2"/>
  <c r="JA13" i="2" s="1"/>
  <c r="IT11" i="2"/>
  <c r="JB11" i="2" s="1"/>
  <c r="HT11" i="2"/>
  <c r="HB11" i="2"/>
  <c r="HC11" i="2" s="1"/>
  <c r="GY4" i="2"/>
  <c r="GB4" i="2"/>
  <c r="GP4" i="2" s="1"/>
  <c r="JJ8" i="2"/>
  <c r="IZ8" i="2"/>
  <c r="JA8" i="2" s="1"/>
  <c r="JJ11" i="2"/>
  <c r="IZ11" i="2"/>
  <c r="JA11" i="2" s="1"/>
  <c r="IR10" i="2"/>
  <c r="IX10" i="2" s="1"/>
  <c r="IY10" i="2" s="1"/>
  <c r="HA10" i="2"/>
  <c r="IZ16" i="2"/>
  <c r="JA16" i="2" s="1"/>
  <c r="JJ16" i="2"/>
  <c r="IT18" i="2"/>
  <c r="JB18" i="2" s="1"/>
  <c r="HB18" i="2"/>
  <c r="HC18" i="2" s="1"/>
  <c r="HT18" i="2"/>
  <c r="IR19" i="2"/>
  <c r="IX19" i="2" s="1"/>
  <c r="IY19" i="2" s="1"/>
  <c r="HA19" i="2"/>
  <c r="IZ18" i="2"/>
  <c r="JA18" i="2" s="1"/>
  <c r="JJ18" i="2"/>
  <c r="JJ12" i="2"/>
  <c r="IZ12" i="2"/>
  <c r="JA12" i="2" s="1"/>
  <c r="IR9" i="2"/>
  <c r="IX9" i="2" s="1"/>
  <c r="IY9" i="2" s="1"/>
  <c r="HA9" i="2"/>
  <c r="IT22" i="2"/>
  <c r="JB22" i="2" s="1"/>
  <c r="HT22" i="2"/>
  <c r="HB22" i="2"/>
  <c r="HC22" i="2" s="1"/>
  <c r="HB6" i="2"/>
  <c r="HC6" i="2" s="1"/>
  <c r="IT6" i="2"/>
  <c r="JB6" i="2" s="1"/>
  <c r="HT6" i="2"/>
  <c r="IR7" i="2"/>
  <c r="IX7" i="2" s="1"/>
  <c r="IY7" i="2" s="1"/>
  <c r="HA7" i="2"/>
  <c r="HT21" i="2"/>
  <c r="IT21" i="2"/>
  <c r="JB21" i="2" s="1"/>
  <c r="HB21" i="2"/>
  <c r="HC21" i="2" s="1"/>
  <c r="JJ6" i="2"/>
  <c r="IZ6" i="2"/>
  <c r="JA6" i="2" s="1"/>
  <c r="IR28" i="2"/>
  <c r="IX28" i="2" s="1"/>
  <c r="IY28" i="2" s="1"/>
  <c r="HA28" i="2"/>
  <c r="HT12" i="2"/>
  <c r="IT12" i="2"/>
  <c r="JB12" i="2" s="1"/>
  <c r="HB12" i="2"/>
  <c r="HC12" i="2" s="1"/>
  <c r="IR26" i="2"/>
  <c r="IX26" i="2" s="1"/>
  <c r="IY26" i="2" s="1"/>
  <c r="HA26" i="2"/>
  <c r="IZ22" i="2"/>
  <c r="JJ22" i="2"/>
  <c r="JA22" i="2"/>
  <c r="EW29" i="2"/>
  <c r="IT14" i="2"/>
  <c r="JB14" i="2" s="1"/>
  <c r="HB14" i="2"/>
  <c r="HT14" i="2"/>
  <c r="HT20" i="2"/>
  <c r="IT20" i="2"/>
  <c r="JB20" i="2" s="1"/>
  <c r="HB20" i="2"/>
  <c r="HC20" i="2" s="1"/>
  <c r="JJ21" i="2"/>
  <c r="IZ21" i="2"/>
  <c r="JA21" i="2" s="1"/>
  <c r="IT8" i="2"/>
  <c r="JB8" i="2" s="1"/>
  <c r="GN29" i="2"/>
  <c r="GA29" i="2"/>
  <c r="JJ14" i="2"/>
  <c r="IZ14" i="2"/>
  <c r="JA14" i="2" s="1"/>
  <c r="JJ20" i="2"/>
  <c r="IZ20" i="2"/>
  <c r="JA20" i="2" s="1"/>
  <c r="HB16" i="2"/>
  <c r="HC16" i="2" s="1"/>
  <c r="IT16" i="2"/>
  <c r="JB16" i="2" s="1"/>
  <c r="HT16" i="2"/>
  <c r="HB8" i="2" l="1"/>
  <c r="HC8" i="2" s="1"/>
  <c r="IZ19" i="2"/>
  <c r="JA19" i="2"/>
  <c r="JJ19" i="2"/>
  <c r="IZ5" i="2"/>
  <c r="JA5" i="2" s="1"/>
  <c r="JJ5" i="2"/>
  <c r="HW22" i="2"/>
  <c r="HV22" i="2"/>
  <c r="HW18" i="2"/>
  <c r="HV18" i="2"/>
  <c r="IT23" i="2"/>
  <c r="HB23" i="2"/>
  <c r="HC23" i="2" s="1"/>
  <c r="HT23" i="2"/>
  <c r="HW8" i="2"/>
  <c r="HV8" i="2"/>
  <c r="JM6" i="2"/>
  <c r="JL6" i="2"/>
  <c r="JM8" i="2"/>
  <c r="JL8" i="2"/>
  <c r="JM22" i="2"/>
  <c r="JL22" i="2"/>
  <c r="HT9" i="2"/>
  <c r="IT9" i="2"/>
  <c r="JB9" i="2" s="1"/>
  <c r="HB9" i="2"/>
  <c r="HC9" i="2" s="1"/>
  <c r="JJ9" i="2"/>
  <c r="IZ9" i="2"/>
  <c r="JA9" i="2" s="1"/>
  <c r="JM16" i="2"/>
  <c r="JL16" i="2"/>
  <c r="GY29" i="2"/>
  <c r="HA29" i="2" s="1"/>
  <c r="HT29" i="2" s="1"/>
  <c r="IR4" i="2"/>
  <c r="HI4" i="2"/>
  <c r="HA4" i="2"/>
  <c r="JM20" i="2"/>
  <c r="JL20" i="2"/>
  <c r="HT26" i="2"/>
  <c r="IT26" i="2"/>
  <c r="JB26" i="2" s="1"/>
  <c r="HB26" i="2"/>
  <c r="HC26" i="2" s="1"/>
  <c r="HW21" i="2"/>
  <c r="HV21" i="2"/>
  <c r="HW13" i="2"/>
  <c r="HV13" i="2"/>
  <c r="JL21" i="2"/>
  <c r="JM21" i="2"/>
  <c r="JJ26" i="2"/>
  <c r="IZ26" i="2"/>
  <c r="JA26" i="2"/>
  <c r="HT7" i="2"/>
  <c r="HB7" i="2"/>
  <c r="HC7" i="2" s="1"/>
  <c r="IT7" i="2"/>
  <c r="JB7" i="2" s="1"/>
  <c r="HW11" i="2"/>
  <c r="HV11" i="2"/>
  <c r="HT15" i="2"/>
  <c r="IT15" i="2"/>
  <c r="JB15" i="2" s="1"/>
  <c r="HB15" i="2"/>
  <c r="HC15" i="2" s="1"/>
  <c r="IZ7" i="2"/>
  <c r="JA7" i="2" s="1"/>
  <c r="JJ7" i="2"/>
  <c r="JM12" i="2"/>
  <c r="JL12" i="2"/>
  <c r="HB10" i="2"/>
  <c r="HC10" i="2" s="1"/>
  <c r="IT10" i="2"/>
  <c r="JB10" i="2" s="1"/>
  <c r="HT10" i="2"/>
  <c r="IZ15" i="2"/>
  <c r="JJ15" i="2"/>
  <c r="JA15" i="2"/>
  <c r="JM14" i="2"/>
  <c r="JL14" i="2"/>
  <c r="JM18" i="2"/>
  <c r="JL18" i="2"/>
  <c r="JJ10" i="2"/>
  <c r="IZ10" i="2"/>
  <c r="JA10" i="2" s="1"/>
  <c r="IT27" i="2"/>
  <c r="JB27" i="2" s="1"/>
  <c r="HT27" i="2"/>
  <c r="HB27" i="2"/>
  <c r="HC27" i="2" s="1"/>
  <c r="GP29" i="2"/>
  <c r="HW20" i="2"/>
  <c r="HV20" i="2"/>
  <c r="HW12" i="2"/>
  <c r="HV12" i="2"/>
  <c r="HW6" i="2"/>
  <c r="HV6" i="2"/>
  <c r="JM13" i="2"/>
  <c r="JL13" i="2"/>
  <c r="IZ27" i="2"/>
  <c r="JA27" i="2" s="1"/>
  <c r="JJ27" i="2"/>
  <c r="HW14" i="2"/>
  <c r="HV14" i="2"/>
  <c r="HT28" i="2"/>
  <c r="IT28" i="2"/>
  <c r="JB28" i="2" s="1"/>
  <c r="HB28" i="2"/>
  <c r="HC28" i="2" s="1"/>
  <c r="IT17" i="2"/>
  <c r="HT17" i="2"/>
  <c r="HB17" i="2"/>
  <c r="HC17" i="2" s="1"/>
  <c r="HW16" i="2"/>
  <c r="HV16" i="2"/>
  <c r="HC14" i="2"/>
  <c r="IZ28" i="2"/>
  <c r="JA28" i="2" s="1"/>
  <c r="JJ28" i="2"/>
  <c r="HB19" i="2"/>
  <c r="HC19" i="2" s="1"/>
  <c r="IT19" i="2"/>
  <c r="JB19" i="2" s="1"/>
  <c r="HT19" i="2"/>
  <c r="JM11" i="2"/>
  <c r="JL11" i="2"/>
  <c r="HB5" i="2"/>
  <c r="HC5" i="2" s="1"/>
  <c r="IT5" i="2"/>
  <c r="JB5" i="2" s="1"/>
  <c r="HT5" i="2"/>
  <c r="IY23" i="2" l="1"/>
  <c r="HW19" i="2"/>
  <c r="HV19" i="2"/>
  <c r="HW26" i="2"/>
  <c r="HV26" i="2"/>
  <c r="HW9" i="2"/>
  <c r="HV9" i="2"/>
  <c r="JM28" i="2"/>
  <c r="JL28" i="2"/>
  <c r="HW28" i="2"/>
  <c r="HV28" i="2"/>
  <c r="JM26" i="2"/>
  <c r="JL26" i="2"/>
  <c r="IT4" i="2"/>
  <c r="HB4" i="2"/>
  <c r="HT4" i="2"/>
  <c r="HI6" i="2"/>
  <c r="HJ5" i="2" s="1"/>
  <c r="HW7" i="2"/>
  <c r="HV7" i="2"/>
  <c r="JM7" i="2"/>
  <c r="JL7" i="2"/>
  <c r="IR29" i="2"/>
  <c r="IX4" i="2"/>
  <c r="IY17" i="2"/>
  <c r="JB17" i="2" s="1"/>
  <c r="JM5" i="2"/>
  <c r="JL5" i="2"/>
  <c r="HK5" i="2"/>
  <c r="HW29" i="2"/>
  <c r="IF4" i="2"/>
  <c r="IG4" i="2" s="1"/>
  <c r="HV29" i="2"/>
  <c r="HW5" i="2"/>
  <c r="HV5" i="2"/>
  <c r="JM15" i="2"/>
  <c r="JL15" i="2"/>
  <c r="HW10" i="2"/>
  <c r="HV10" i="2"/>
  <c r="JM19" i="2"/>
  <c r="JL19" i="2"/>
  <c r="JM27" i="2"/>
  <c r="JL27" i="2"/>
  <c r="JM10" i="2"/>
  <c r="JL10" i="2"/>
  <c r="HL5" i="2"/>
  <c r="HW15" i="2"/>
  <c r="HV15" i="2"/>
  <c r="HW27" i="2"/>
  <c r="HV27" i="2"/>
  <c r="JM9" i="2"/>
  <c r="JL9" i="2"/>
  <c r="HV17" i="2"/>
  <c r="HW17" i="2"/>
  <c r="HW23" i="2"/>
  <c r="HV23" i="2"/>
  <c r="HJ4" i="2" l="1"/>
  <c r="HJ6" i="2" s="1"/>
  <c r="HW4" i="2"/>
  <c r="HV4" i="2"/>
  <c r="IT29" i="2"/>
  <c r="HB29" i="2"/>
  <c r="HC4" i="2"/>
  <c r="HK4" i="2"/>
  <c r="HK6" i="2" s="1"/>
  <c r="JJ23" i="2"/>
  <c r="IZ23" i="2"/>
  <c r="JA23" i="2" s="1"/>
  <c r="JJ17" i="2"/>
  <c r="IZ17" i="2"/>
  <c r="JA17" i="2" s="1"/>
  <c r="IX29" i="2"/>
  <c r="IY29" i="2" s="1"/>
  <c r="JJ29" i="2" s="1"/>
  <c r="IY4" i="2"/>
  <c r="JB4" i="2" s="1"/>
  <c r="JB23" i="2"/>
  <c r="JM23" i="2" l="1"/>
  <c r="JL23" i="2"/>
  <c r="HC29" i="2"/>
  <c r="HL4" i="2"/>
  <c r="HL6" i="2" s="1"/>
  <c r="JJ4" i="2"/>
  <c r="IZ4" i="2"/>
  <c r="IZ29" i="2" s="1"/>
  <c r="JM29" i="2"/>
  <c r="JL29" i="2"/>
  <c r="JM17" i="2"/>
  <c r="JL17" i="2"/>
  <c r="JA4" i="2" l="1"/>
  <c r="JA29" i="2" s="1"/>
  <c r="JM4" i="2"/>
  <c r="JL4" i="2"/>
</calcChain>
</file>

<file path=xl/sharedStrings.xml><?xml version="1.0" encoding="utf-8"?>
<sst xmlns="http://schemas.openxmlformats.org/spreadsheetml/2006/main" count="1679" uniqueCount="428">
  <si>
    <t>Schedule 1: Adjustments Summary</t>
  </si>
  <si>
    <t>Schedule 1a: Net Income Summary</t>
  </si>
  <si>
    <t>Schedule 1b: Labour Efficiency and Cost Summary</t>
  </si>
  <si>
    <t>Schedule 1c: Previous Year Summary</t>
  </si>
  <si>
    <t>Schedule 2: Direct Labour</t>
  </si>
  <si>
    <t>Schedule 3: Collector Labour</t>
  </si>
  <si>
    <t>Schedule 4: Overhead Labour</t>
  </si>
  <si>
    <t>Schedule 5: Building Costs</t>
  </si>
  <si>
    <t>Schedule 6: Equipment Costs</t>
  </si>
  <si>
    <t>Schedule 7: Vehicle Costs</t>
  </si>
  <si>
    <t>Schedule 8: Overhead Costs</t>
  </si>
  <si>
    <t>Schedule 9: Miscellaneous Revenue</t>
  </si>
  <si>
    <t>Schedule 10: Revenue</t>
  </si>
  <si>
    <t>Schedule 10a: Calculation of Ratios</t>
  </si>
  <si>
    <t>Schedule 10b: Revenues</t>
  </si>
  <si>
    <t>Schedule 10c: Total System Costs</t>
  </si>
  <si>
    <t>Schedule 11a: Calculation of Ratios</t>
  </si>
  <si>
    <t>Schedule 11b: Revenues</t>
  </si>
  <si>
    <t>Schedule 11c: Target Year Costs</t>
  </si>
  <si>
    <t>Schedule 11d: Net Income Calculations</t>
  </si>
  <si>
    <t>Schedule 11e: Total Return Calculation</t>
  </si>
  <si>
    <t xml:space="preserve"> Schedule 12: Target Year Revenue Requirement</t>
  </si>
  <si>
    <t>Schedule 13: Comparison to Previous HCR</t>
  </si>
  <si>
    <t>2024 Fiscal Year As Accepted</t>
  </si>
  <si>
    <t>2024 Fiscal Year As Adjusted</t>
  </si>
  <si>
    <t>Total System</t>
  </si>
  <si>
    <t>Target System (Current HC)</t>
  </si>
  <si>
    <t>Total Change</t>
  </si>
  <si>
    <t>2004 Fiscal Year As Reported</t>
  </si>
  <si>
    <t>2005 Fiscal Year As Reported</t>
  </si>
  <si>
    <t>2006 Fiscal Year As Reported</t>
  </si>
  <si>
    <t>2007 Fiscal Year As Reported</t>
  </si>
  <si>
    <t>2008 Fiscal Year As Reported</t>
  </si>
  <si>
    <t>2009/10 Fiscal Year As Reported</t>
  </si>
  <si>
    <t>2012/13 Fiscal Year As Reported</t>
  </si>
  <si>
    <t>2015 Fiscal Year As Reported</t>
  </si>
  <si>
    <t>2020 Fiscal Year As Accepted</t>
  </si>
  <si>
    <t>2021 Fiscal Year As Accepted</t>
  </si>
  <si>
    <t>2022 Fiscal Year As Accepted</t>
  </si>
  <si>
    <t>2023 Fiscal Year As Accepted</t>
  </si>
  <si>
    <t>Per Container or Hour</t>
  </si>
  <si>
    <t>2024 Fiscal Year As Adjusted 
(After Collections Cost Cap)</t>
  </si>
  <si>
    <t>Miscellaneous Revenue</t>
  </si>
  <si>
    <t>Deposits</t>
  </si>
  <si>
    <t>Handling Commissions</t>
  </si>
  <si>
    <t>Depot Viability Handling Commissions</t>
  </si>
  <si>
    <t>Total Revenue</t>
  </si>
  <si>
    <t>Direct Labour</t>
  </si>
  <si>
    <t>Collector Labour</t>
  </si>
  <si>
    <t>Overhead Labour</t>
  </si>
  <si>
    <t>Building</t>
  </si>
  <si>
    <t>Vehicle</t>
  </si>
  <si>
    <t>Fuel</t>
  </si>
  <si>
    <t>Equipment</t>
  </si>
  <si>
    <t>Overhead</t>
  </si>
  <si>
    <t>Summary</t>
  </si>
  <si>
    <t>Base Handling Commissions</t>
  </si>
  <si>
    <t>Depot Viability HC</t>
  </si>
  <si>
    <t>Contract Labour</t>
  </si>
  <si>
    <t>Total Operating Expense</t>
  </si>
  <si>
    <t>Total Operating Expenses</t>
  </si>
  <si>
    <t>Net Income Before Tax</t>
  </si>
  <si>
    <t>Cost</t>
  </si>
  <si>
    <t>Cost per Container (¢)</t>
  </si>
  <si>
    <t xml:space="preserve">Difference (Accepted to Adjusted) </t>
  </si>
  <si>
    <t>Difference (Adjusted to Total System)</t>
  </si>
  <si>
    <t>Difference (Total System to Target System)</t>
  </si>
  <si>
    <t>Difference (Accepted to Target System)</t>
  </si>
  <si>
    <t xml:space="preserve">% Change (Accepted to Target System) </t>
  </si>
  <si>
    <t>Small</t>
  </si>
  <si>
    <t>Medium</t>
  </si>
  <si>
    <t>Large</t>
  </si>
  <si>
    <t>Total</t>
  </si>
  <si>
    <t xml:space="preserve">Cost per Container (¢) </t>
  </si>
  <si>
    <t>Percent Change</t>
  </si>
  <si>
    <t>% Change</t>
  </si>
  <si>
    <t>% Change From 2004</t>
  </si>
  <si>
    <t>Ave. Annual</t>
  </si>
  <si>
    <t>Hours</t>
  </si>
  <si>
    <t>Salary &amp; Wages</t>
  </si>
  <si>
    <t>Benefits</t>
  </si>
  <si>
    <t>Size Class</t>
  </si>
  <si>
    <t xml:space="preserve">Hours </t>
  </si>
  <si>
    <t>$</t>
  </si>
  <si>
    <t>$ 
(Less Collection Costs Cap)</t>
  </si>
  <si>
    <t>Business Vehicle Cost</t>
  </si>
  <si>
    <t>Offsite Collections Vehicle Cost*</t>
  </si>
  <si>
    <t>Total Vehicle Cost*</t>
  </si>
  <si>
    <t>Total (Less Offsite Collections Cap)</t>
  </si>
  <si>
    <t xml:space="preserve">Total </t>
  </si>
  <si>
    <t>Volume Cluster</t>
  </si>
  <si>
    <t>Depots in Study System</t>
  </si>
  <si>
    <t>Depots In Total System</t>
  </si>
  <si>
    <t>Study System Depots, FY2024 Volume</t>
  </si>
  <si>
    <t>Total System Depots Calendar Year Volume</t>
  </si>
  <si>
    <t>Depot Ratio</t>
  </si>
  <si>
    <t>Volume Ratio</t>
  </si>
  <si>
    <t>Percent Small</t>
  </si>
  <si>
    <t>Percent Medium</t>
  </si>
  <si>
    <t>Percent Large</t>
  </si>
  <si>
    <t>Study System</t>
  </si>
  <si>
    <t>Total System 
(b * c)</t>
  </si>
  <si>
    <t xml:space="preserve">Total System </t>
  </si>
  <si>
    <t>Study System 
(c + g + i)</t>
  </si>
  <si>
    <t>Total System 
(d + h + j)</t>
  </si>
  <si>
    <t>Total System 
(c x d)</t>
  </si>
  <si>
    <t>Total System 
(c x f)</t>
  </si>
  <si>
    <t>Total System 
(b x h)</t>
  </si>
  <si>
    <t>Total System (Calculated)</t>
  </si>
  <si>
    <t>Total System 
(c x l)</t>
  </si>
  <si>
    <t>Total System 
(c x o)</t>
  </si>
  <si>
    <t>Total System 
(c x q)</t>
  </si>
  <si>
    <t>Total System 
(c x w)</t>
  </si>
  <si>
    <t>Study System Total Operating Cost*</t>
  </si>
  <si>
    <t>Total System Total Operating Cost**</t>
  </si>
  <si>
    <t>Total System Cost 
(¢ / container)</t>
  </si>
  <si>
    <t>Total System Depots</t>
  </si>
  <si>
    <t>Target Year Depots</t>
  </si>
  <si>
    <t>Total System  Volume</t>
  </si>
  <si>
    <t>Target Year Volume</t>
  </si>
  <si>
    <t>Total System Ratio</t>
  </si>
  <si>
    <t>FY Quarter</t>
  </si>
  <si>
    <t>Target Year</t>
  </si>
  <si>
    <t>Total System 
(d +  h + j)</t>
  </si>
  <si>
    <t>Target System 
(e + i + k)</t>
  </si>
  <si>
    <t>Study System Volume Cluster</t>
  </si>
  <si>
    <t>FY 2024 Index (2002 = 100.0)</t>
  </si>
  <si>
    <r>
      <t xml:space="preserve">Target Year 
</t>
    </r>
    <r>
      <rPr>
        <b/>
        <sz val="9"/>
        <color theme="0"/>
        <rFont val="Segoe UI Semibold"/>
        <family val="2"/>
      </rPr>
      <t>(j + l + n + p + r + t)</t>
    </r>
  </si>
  <si>
    <t>Item</t>
  </si>
  <si>
    <t>Amount</t>
  </si>
  <si>
    <t>Existing Handling Commissions - Target Year Forecast</t>
  </si>
  <si>
    <t>Proposed Handling Commissions - Target Year Forecast</t>
  </si>
  <si>
    <t>AUR 2024
Schedule 12 Column A</t>
  </si>
  <si>
    <t>2025/26 HCR Schedule 12 Column A</t>
  </si>
  <si>
    <t>Difference</t>
  </si>
  <si>
    <t>No.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</si>
  <si>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</si>
  <si>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</si>
  <si>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</si>
  <si>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</si>
  <si>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</si>
  <si>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</si>
  <si>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</si>
  <si>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</si>
  <si>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</si>
  <si>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</si>
  <si>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</si>
  <si>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</si>
  <si>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</si>
  <si>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(c)</t>
  </si>
  <si>
    <t>(n)</t>
  </si>
  <si>
    <t>(o)</t>
  </si>
  <si>
    <t>(p)</t>
  </si>
  <si>
    <t>(q)</t>
  </si>
  <si>
    <t>(r)</t>
  </si>
  <si>
    <t>(s)</t>
  </si>
  <si>
    <t>(t)</t>
  </si>
  <si>
    <t>(u)</t>
  </si>
  <si>
    <t xml:space="preserve"> No.</t>
  </si>
  <si>
    <t xml:space="preserve">(r) </t>
  </si>
  <si>
    <t>(v)</t>
  </si>
  <si>
    <t xml:space="preserve">(c) </t>
  </si>
  <si>
    <t xml:space="preserve">(e) </t>
  </si>
  <si>
    <t xml:space="preserve">(s) </t>
  </si>
  <si>
    <t>($)</t>
  </si>
  <si>
    <t>(%)</t>
  </si>
  <si>
    <t>Revenue</t>
  </si>
  <si>
    <t>Sq. Ft.</t>
  </si>
  <si>
    <t>CCA</t>
  </si>
  <si>
    <t>Overhead - Office</t>
  </si>
  <si>
    <t>Cardboard Sales</t>
  </si>
  <si>
    <t>Volume</t>
  </si>
  <si>
    <t>Target Year Indexed Rate</t>
  </si>
  <si>
    <t>Cost of Goods Sold Calculation</t>
  </si>
  <si>
    <t>Net Income before Tax</t>
  </si>
  <si>
    <t>Building CCA</t>
  </si>
  <si>
    <t>Lease Payments</t>
  </si>
  <si>
    <t>Office Expenses</t>
  </si>
  <si>
    <t>Pick-up Fees</t>
  </si>
  <si>
    <t>Operating Expenses</t>
  </si>
  <si>
    <t>Less Purchases</t>
  </si>
  <si>
    <t>¢ per container</t>
  </si>
  <si>
    <t>S/Container</t>
  </si>
  <si>
    <t>Use Costs incl. Mortgage Interest</t>
  </si>
  <si>
    <t>Operating Costs</t>
  </si>
  <si>
    <t>Shop Supplies</t>
  </si>
  <si>
    <t>Other Recycling</t>
  </si>
  <si>
    <t>Less: Purchases</t>
  </si>
  <si>
    <t>Base Handling Commission</t>
  </si>
  <si>
    <t>$/Hour</t>
  </si>
  <si>
    <t>Gross Margin (HC)</t>
  </si>
  <si>
    <t>Utilities</t>
  </si>
  <si>
    <t>Telephone</t>
  </si>
  <si>
    <t>Wine Bottle Sales</t>
  </si>
  <si>
    <t>Gross Margin</t>
  </si>
  <si>
    <t>Cost of Goods Sold (#2+#3)</t>
  </si>
  <si>
    <t>Base Handling Commissions (HC)</t>
  </si>
  <si>
    <t>Misc Revenue</t>
  </si>
  <si>
    <t>Deemed Lease Cost</t>
  </si>
  <si>
    <t>* Less Offsite Collections Cost Cap</t>
  </si>
  <si>
    <t>Charitable Donations</t>
  </si>
  <si>
    <t>Value Add Fee (VAF)</t>
  </si>
  <si>
    <t>Pre-Tax Margin Calculation</t>
  </si>
  <si>
    <t>Total Margin</t>
  </si>
  <si>
    <t>Deemed Usage Cost</t>
  </si>
  <si>
    <t>Internet</t>
  </si>
  <si>
    <t>COVID Subsidy</t>
  </si>
  <si>
    <t>Return Margin (Combined)</t>
  </si>
  <si>
    <t>Net Revenue</t>
  </si>
  <si>
    <t>Expenses</t>
  </si>
  <si>
    <t>Bank Charges</t>
  </si>
  <si>
    <t>Other Revenue</t>
  </si>
  <si>
    <t>Revenues Required (#4/(1-#6))</t>
  </si>
  <si>
    <t>Professional Fees (Accounting/Legal)</t>
  </si>
  <si>
    <t>Pre-Tax Margin (#7-#4)</t>
  </si>
  <si>
    <t>Contract / Collector Labour</t>
  </si>
  <si>
    <t>Training Courses  (3rd Party)</t>
  </si>
  <si>
    <t>Marketing and Promotions</t>
  </si>
  <si>
    <t>Advertising</t>
  </si>
  <si>
    <t>Equipment and Vehicles</t>
  </si>
  <si>
    <t>Other Insurance (non-property)</t>
  </si>
  <si>
    <t>Municipal Taxes &amp; License Fees</t>
  </si>
  <si>
    <t>Other Office costs</t>
  </si>
  <si>
    <t>Earnings Before Taxes</t>
  </si>
  <si>
    <t>Sub Total</t>
  </si>
  <si>
    <t>Total Expenses</t>
  </si>
  <si>
    <t>System Data</t>
  </si>
  <si>
    <t>Overhead - Fees</t>
  </si>
  <si>
    <t>Difference (As Accepted Data to Target System Data)</t>
  </si>
  <si>
    <t>Total Container Volume</t>
  </si>
  <si>
    <t>BCMB Fines / Levies</t>
  </si>
  <si>
    <t xml:space="preserve">System Data </t>
  </si>
  <si>
    <t xml:space="preserve">Percent Change (As Accepted Data to Target System Data) </t>
  </si>
  <si>
    <t>Number of Depots</t>
  </si>
  <si>
    <t>ABDA Fees</t>
  </si>
  <si>
    <t>Total Return</t>
  </si>
  <si>
    <t>POR Fees</t>
  </si>
  <si>
    <t>Pre-Tax Return</t>
  </si>
  <si>
    <t xml:space="preserve">Number of Depots </t>
  </si>
  <si>
    <t>Revenue Requirement</t>
  </si>
  <si>
    <t>Overhead - Other</t>
  </si>
  <si>
    <t>Q3</t>
  </si>
  <si>
    <t>Removal of Interest and Dividend Revenues per HC Agreement</t>
  </si>
  <si>
    <t>Non-labour collection costs</t>
  </si>
  <si>
    <t>Total System as a % of Study System</t>
  </si>
  <si>
    <t>Target Year as a % of Total System</t>
  </si>
  <si>
    <t xml:space="preserve">*note: revenue and expenses exclude deposits as these are a net zero item. </t>
  </si>
  <si>
    <t>Addition of Direct Labour costs per HC Agreement</t>
  </si>
  <si>
    <t>Deposit incentives</t>
  </si>
  <si>
    <t>* (d + f + h + j + l + n + p + r)</t>
  </si>
  <si>
    <t>Revised Revenue Requirement</t>
  </si>
  <si>
    <t>Goodwill - Current Year CCA</t>
  </si>
  <si>
    <t>** (e + g + i + k + m + o + q + s)</t>
  </si>
  <si>
    <t>DVHC Revenues</t>
  </si>
  <si>
    <t>Shrinkage</t>
  </si>
  <si>
    <t>Handling Commission Revenues</t>
  </si>
  <si>
    <t>Other costs</t>
  </si>
  <si>
    <t>Total Revenue at Current Rates</t>
  </si>
  <si>
    <t>Proposed Rate Increase</t>
  </si>
  <si>
    <t>Overhead - Table 9</t>
  </si>
  <si>
    <t>Table 9 Collections costs</t>
  </si>
  <si>
    <t>Table 9 Cash &amp; Shrinkage</t>
  </si>
  <si>
    <t>Schedule 1: Revenue Requirement Summary</t>
  </si>
  <si>
    <t>Schedule 2: Volume and Pallet Allocators</t>
  </si>
  <si>
    <t xml:space="preserve">Schedule 3: Business Cost Allocator </t>
  </si>
  <si>
    <t>Schedule 4: Time and Motion Expert Seconds per Container</t>
  </si>
  <si>
    <t>Schedule 5: Direct and Collector Target Year Hours and Cost</t>
  </si>
  <si>
    <t>Schedule 6: Direct and Collector Labour Cost</t>
  </si>
  <si>
    <t>Schedule 7: Overhead Labour Allocators</t>
  </si>
  <si>
    <t xml:space="preserve">Schedule 8: Overhead Labour </t>
  </si>
  <si>
    <t>Schedule 9: Building Allocators</t>
  </si>
  <si>
    <t>Schedule 10: Building</t>
  </si>
  <si>
    <t>Schedule 11: Equipment Allocators</t>
  </si>
  <si>
    <t xml:space="preserve">Schedule 12: Equipment </t>
  </si>
  <si>
    <t>Schedule 13: Vehicle</t>
  </si>
  <si>
    <t>Schedule 14: Overhead Allocators</t>
  </si>
  <si>
    <t>Schedule 15: Overhead</t>
  </si>
  <si>
    <t>Schedule 16: Return and Miscellaneous Summary</t>
  </si>
  <si>
    <t>Schedule 17: Return</t>
  </si>
  <si>
    <t>Schedule 18: Cost Per Container Stream Summary</t>
  </si>
  <si>
    <t>Schedule 19: Cost per Container Summary</t>
  </si>
  <si>
    <t>Schedule 20: Revenue Surplus / Shortfall</t>
  </si>
  <si>
    <t>Schedule 21: Revenue Surplus / Shortfall by Manufacturer</t>
  </si>
  <si>
    <t>Schedule 22: Pre-Depot Viability Handling Commission Change</t>
  </si>
  <si>
    <t>Schedule 23: Depot Viability Handling Commissions Summary</t>
  </si>
  <si>
    <t>Schedule 24: Depot Viability Handling Commissions by Container Stream</t>
  </si>
  <si>
    <t>Schedule 25: Handling Commission Change</t>
  </si>
  <si>
    <t>Target Year Revenue Requirement</t>
  </si>
  <si>
    <t>Percent of Total Cost</t>
  </si>
  <si>
    <r>
      <t xml:space="preserve">Unit Cost </t>
    </r>
    <r>
      <rPr>
        <b/>
        <i/>
        <sz val="11"/>
        <color theme="0"/>
        <rFont val="Segoe UI Semibold"/>
        <family val="2"/>
      </rPr>
      <t>(¢/container)</t>
    </r>
  </si>
  <si>
    <t>Forecast Group</t>
  </si>
  <si>
    <t>Container Stream</t>
  </si>
  <si>
    <t>Target Year Volume Forecast
Volume</t>
  </si>
  <si>
    <t>Target Year Volume Allocator</t>
  </si>
  <si>
    <t>Containers per  Pallet</t>
  </si>
  <si>
    <t>Total Pallets</t>
  </si>
  <si>
    <t>Pallet Allocator</t>
  </si>
  <si>
    <t>Manufacturer</t>
  </si>
  <si>
    <t xml:space="preserve">Business Costs </t>
  </si>
  <si>
    <t>Business Cost Allocator</t>
  </si>
  <si>
    <t>Total Time (s)</t>
  </si>
  <si>
    <t>Time Per Container</t>
  </si>
  <si>
    <t>Target Year Forecast</t>
  </si>
  <si>
    <t>Direct and Collector Labour Hours</t>
  </si>
  <si>
    <t>Target Year Direct and Collector Labour Hours</t>
  </si>
  <si>
    <t>Loaded Hourly Rate ($/Hour)</t>
  </si>
  <si>
    <r>
      <t xml:space="preserve">Total Direct &amp; Collector Labour
 Cost
</t>
    </r>
    <r>
      <rPr>
        <b/>
        <i/>
        <sz val="11"/>
        <color theme="0"/>
        <rFont val="Segoe UI Semibold"/>
        <family val="2"/>
      </rPr>
      <t>(</t>
    </r>
    <r>
      <rPr>
        <i/>
        <sz val="11"/>
        <color theme="0"/>
        <rFont val="Segoe UI Semibold"/>
        <family val="2"/>
      </rPr>
      <t>$</t>
    </r>
    <r>
      <rPr>
        <b/>
        <i/>
        <sz val="11"/>
        <color theme="0"/>
        <rFont val="Segoe UI Semibold"/>
        <family val="2"/>
      </rPr>
      <t>)</t>
    </r>
  </si>
  <si>
    <t>Direct and Collector Labour Allocator</t>
  </si>
  <si>
    <r>
      <t xml:space="preserve">Unit Cost </t>
    </r>
    <r>
      <rPr>
        <b/>
        <i/>
        <sz val="11"/>
        <color theme="0"/>
        <rFont val="Segoe UI Semilight"/>
        <family val="2"/>
        <scheme val="minor"/>
      </rPr>
      <t>(¢/container)</t>
    </r>
  </si>
  <si>
    <t>Cost Classification</t>
  </si>
  <si>
    <t>% of Total</t>
  </si>
  <si>
    <t>Total Overhead Cost</t>
  </si>
  <si>
    <t>Direct and Collector Labour Cost</t>
  </si>
  <si>
    <t>Volume Cost</t>
  </si>
  <si>
    <r>
      <t xml:space="preserve">Overhead Labour Cost 
</t>
    </r>
    <r>
      <rPr>
        <b/>
        <i/>
        <sz val="11"/>
        <color theme="0"/>
        <rFont val="Segoe UI Semibold"/>
        <family val="2"/>
      </rPr>
      <t>($)</t>
    </r>
  </si>
  <si>
    <t>%
Reported</t>
  </si>
  <si>
    <t>Cost
($)</t>
  </si>
  <si>
    <t>Volume Classification Factor</t>
  </si>
  <si>
    <t>Pallet Classification Factor</t>
  </si>
  <si>
    <t>Volume Classification ($)</t>
  </si>
  <si>
    <t>Pallet Classification ($)</t>
  </si>
  <si>
    <t>Volume Allocator</t>
  </si>
  <si>
    <r>
      <t xml:space="preserve">Volume
Cost 
</t>
    </r>
    <r>
      <rPr>
        <b/>
        <i/>
        <sz val="11"/>
        <color theme="0"/>
        <rFont val="Segoe UI Semibold"/>
        <family val="2"/>
      </rPr>
      <t>($)</t>
    </r>
  </si>
  <si>
    <t xml:space="preserve"> Pallet Allocator</t>
  </si>
  <si>
    <r>
      <t xml:space="preserve">Total 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</si>
  <si>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Building Cost
</t>
    </r>
    <r>
      <rPr>
        <b/>
        <i/>
        <sz val="11"/>
        <color theme="0"/>
        <rFont val="Segoe UI Semibold"/>
        <family val="2"/>
      </rPr>
      <t>($)</t>
    </r>
  </si>
  <si>
    <t>Building Allocator</t>
  </si>
  <si>
    <t>Equipment Cost Classification</t>
  </si>
  <si>
    <t>Total Equipment Cost</t>
  </si>
  <si>
    <r>
      <t xml:space="preserve">Building Cost
</t>
    </r>
    <r>
      <rPr>
        <b/>
        <i/>
        <sz val="11"/>
        <color theme="0"/>
        <rFont val="Segoe UI Semibold"/>
        <family val="2"/>
      </rPr>
      <t>($)</t>
    </r>
  </si>
  <si>
    <r>
      <t xml:space="preserve">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</si>
  <si>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
</t>
    </r>
    <r>
      <rPr>
        <b/>
        <i/>
        <sz val="11"/>
        <color theme="0"/>
        <rFont val="Segoe UI Semibold"/>
        <family val="2"/>
      </rPr>
      <t>($)</t>
    </r>
  </si>
  <si>
    <r>
      <t xml:space="preserve">Total Equipment Cost
</t>
    </r>
    <r>
      <rPr>
        <b/>
        <i/>
        <sz val="11"/>
        <color theme="0"/>
        <rFont val="Segoe UI Semibold"/>
        <family val="2"/>
      </rPr>
      <t>($)</t>
    </r>
  </si>
  <si>
    <t>% of
Total</t>
  </si>
  <si>
    <r>
      <t xml:space="preserve">Total Vehicle Cost
</t>
    </r>
    <r>
      <rPr>
        <b/>
        <i/>
        <sz val="11"/>
        <color theme="0"/>
        <rFont val="Segoe UI Semibold"/>
        <family val="2"/>
      </rPr>
      <t>($)</t>
    </r>
  </si>
  <si>
    <t>As Adjusted Cost</t>
  </si>
  <si>
    <r>
      <t xml:space="preserve">Business Cost 
</t>
    </r>
    <r>
      <rPr>
        <b/>
        <i/>
        <sz val="11"/>
        <color theme="0"/>
        <rFont val="Segoe UI Semibold"/>
        <family val="2"/>
      </rPr>
      <t>($)</t>
    </r>
  </si>
  <si>
    <r>
      <t xml:space="preserve">Building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</si>
  <si>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</si>
  <si>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Overhead Cost 
</t>
    </r>
    <r>
      <rPr>
        <b/>
        <i/>
        <sz val="11"/>
        <color theme="0"/>
        <rFont val="Segoe UI Semibold"/>
        <family val="2"/>
      </rPr>
      <t>($)</t>
    </r>
  </si>
  <si>
    <t>Return and Miscellaneous Revenue</t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</si>
  <si>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($)</t>
    </r>
  </si>
  <si>
    <t>Direct and Collector Labour</t>
  </si>
  <si>
    <t>Buildings</t>
  </si>
  <si>
    <t>Forecast Group Revenue Requirement</t>
  </si>
  <si>
    <r>
      <t xml:space="preserve">Direct and Collector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</si>
  <si>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</si>
  <si>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Building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</si>
  <si>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Equipment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</si>
  <si>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Vehicle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</si>
  <si>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</si>
  <si>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(¢/container)</t>
    </r>
  </si>
  <si>
    <r>
      <t>Variable Rate (</t>
    </r>
    <r>
      <rPr>
        <b/>
        <i/>
        <sz val="11"/>
        <color theme="0"/>
        <rFont val="Segoe UI Semibold"/>
        <family val="2"/>
      </rPr>
      <t>¢/container</t>
    </r>
    <r>
      <rPr>
        <b/>
        <sz val="11"/>
        <color theme="0"/>
        <rFont val="Segoe UI Semibold"/>
        <family val="2"/>
      </rPr>
      <t>)</t>
    </r>
  </si>
  <si>
    <t>Revenue at
Variable
Rates</t>
  </si>
  <si>
    <r>
      <t xml:space="preserve">Revenue Surplus / Shortfall
</t>
    </r>
    <r>
      <rPr>
        <b/>
        <i/>
        <sz val="11"/>
        <color theme="0"/>
        <rFont val="Segoe UI Semibold"/>
        <family val="2"/>
      </rPr>
      <t>($)</t>
    </r>
  </si>
  <si>
    <r>
      <t xml:space="preserve">Pre-Depot Viability 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</si>
  <si>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Pre-Depot Viability Handling Commissions 
</t>
    </r>
    <r>
      <rPr>
        <b/>
        <i/>
        <sz val="11"/>
        <color theme="0"/>
        <rFont val="Segoe UI Semibold"/>
        <family val="2"/>
      </rPr>
      <t>(¢/container)</t>
    </r>
  </si>
  <si>
    <t>Change in ¢ per container</t>
  </si>
  <si>
    <r>
      <t xml:space="preserve">Deposits 
</t>
    </r>
    <r>
      <rPr>
        <b/>
        <i/>
        <sz val="11"/>
        <color theme="0"/>
        <rFont val="Segoe UI Semibold"/>
        <family val="2"/>
      </rPr>
      <t>(¢/container)</t>
    </r>
  </si>
  <si>
    <t>2024 CY Volume</t>
  </si>
  <si>
    <t>Target Yr Vol</t>
  </si>
  <si>
    <t>% increase in vol</t>
  </si>
  <si>
    <t>1.5-cent eligible volume</t>
  </si>
  <si>
    <r>
      <t xml:space="preserve">Avg HC per Container
</t>
    </r>
    <r>
      <rPr>
        <i/>
        <sz val="11"/>
        <color theme="0"/>
        <rFont val="Segoe UI Semibold"/>
        <family val="2"/>
      </rPr>
      <t>(cents)</t>
    </r>
  </si>
  <si>
    <r>
      <t xml:space="preserve">DVHC Addition </t>
    </r>
    <r>
      <rPr>
        <i/>
        <sz val="11"/>
        <color theme="0"/>
        <rFont val="Segoe UI Semibold"/>
        <family val="2"/>
      </rPr>
      <t>($)</t>
    </r>
  </si>
  <si>
    <t>Target Year 
Depot Viability HC-Eligible Volume</t>
  </si>
  <si>
    <t>Eligible Portion</t>
  </si>
  <si>
    <t>Refillable Ratio</t>
  </si>
  <si>
    <r>
      <t xml:space="preserve">Proposed Target Year Handling Commissions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</si>
  <si>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Target Year Volume, With Depot Viability HC
</t>
    </r>
    <r>
      <rPr>
        <b/>
        <i/>
        <sz val="11"/>
        <color theme="0"/>
        <rFont val="Segoe UI Semibold"/>
        <family val="2"/>
      </rPr>
      <t>(14.4% of total)</t>
    </r>
  </si>
  <si>
    <r>
      <t xml:space="preserve">Target Year Volume, Without Depot Viability HC
</t>
    </r>
    <r>
      <rPr>
        <b/>
        <i/>
        <sz val="11"/>
        <color theme="0"/>
        <rFont val="Segoe UI Semibold"/>
        <family val="2"/>
      </rPr>
      <t>(85.6% of total)</t>
    </r>
  </si>
  <si>
    <r>
      <t>Revenue,                                 1.5-cent increase only
(14.4% of total)</t>
    </r>
    <r>
      <rPr>
        <b/>
        <i/>
        <sz val="11"/>
        <color theme="0"/>
        <rFont val="Segoe UI Semibold"/>
        <family val="2"/>
      </rPr>
      <t xml:space="preserve">
(1.5 cents * (f))</t>
    </r>
  </si>
  <si>
    <r>
      <t xml:space="preserve">Remaining Forecast Group Revenue Requirement
</t>
    </r>
    <r>
      <rPr>
        <b/>
        <i/>
        <sz val="11"/>
        <color theme="0"/>
        <rFont val="Segoe UI Semibold"/>
        <family val="2"/>
      </rPr>
      <t>((c) - (h))</t>
    </r>
  </si>
  <si>
    <r>
      <t xml:space="preserve">New Base Proposed Target Year HC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</si>
  <si>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New HC for first 1.5M containers
</t>
    </r>
    <r>
      <rPr>
        <b/>
        <i/>
        <sz val="11"/>
        <color theme="0"/>
        <rFont val="Segoe UI Semibold"/>
        <family val="2"/>
      </rPr>
      <t>(¢/container)</t>
    </r>
  </si>
  <si>
    <t>Forecast Group Revenue Requirement (Check)</t>
  </si>
  <si>
    <t>Decrease in Base HC</t>
  </si>
  <si>
    <r>
      <t xml:space="preserve">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</si>
  <si>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Handling Commissions 
</t>
    </r>
    <r>
      <rPr>
        <b/>
        <i/>
        <sz val="11"/>
        <color theme="0"/>
        <rFont val="Segoe UI Semibold"/>
        <family val="2"/>
      </rPr>
      <t>(¢/container)</t>
    </r>
  </si>
  <si>
    <t xml:space="preserve">(f) </t>
  </si>
  <si>
    <t xml:space="preserve">(h) </t>
  </si>
  <si>
    <t>Sorting / Loading / Cardboard</t>
  </si>
  <si>
    <t>Target Year Direct &amp; Collector Labour Costs</t>
  </si>
  <si>
    <t>Office</t>
  </si>
  <si>
    <t>Business</t>
  </si>
  <si>
    <t>ABCRC</t>
  </si>
  <si>
    <t>Target Year Direct &amp; Collector Labour Hours</t>
  </si>
  <si>
    <t>Customer Interface</t>
  </si>
  <si>
    <t>Less:  Miscellaneous Revenue</t>
  </si>
  <si>
    <t>BDL</t>
  </si>
  <si>
    <t>Average Target Year Direct &amp; Collector Labour Rate</t>
  </si>
  <si>
    <t>Loading</t>
  </si>
  <si>
    <t>System Return</t>
  </si>
  <si>
    <t>Average Time per container (seconds)</t>
  </si>
  <si>
    <t>Sorting</t>
  </si>
  <si>
    <t>Storage</t>
  </si>
  <si>
    <t>Vlookup Reference</t>
  </si>
  <si>
    <t>Column #</t>
  </si>
  <si>
    <t xml:space="preserve">See "Schedule 5" for the Buildings Allocators and "Schedule 8" for the Total Volume Allocators &amp; Total Container Pallets Allocators </t>
  </si>
  <si>
    <t>Vlookup Ref</t>
  </si>
  <si>
    <t>Column Number</t>
  </si>
  <si>
    <t>Specialty containers HC</t>
  </si>
  <si>
    <t>Sleeve-in-a-Box 0 - 1 Litre</t>
  </si>
  <si>
    <t>Q4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</si>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</sst>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&quot;$&quot;#,##0"/>
    <numFmt numFmtId="165" formatCode="_(* #,##0_);_(* \(#,##0\);_(* &quot;-&quot;_);_(@_)"/>
    <numFmt numFmtId="166" formatCode="_-* #,##0_-;\-* #,##0_-;_-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_);\(&quot;$&quot;#,##0\)"/>
    <numFmt numFmtId="170" formatCode="_-&quot;$&quot;* #,##0_-;\-&quot;$&quot;* #,##0_-;_-&quot;$&quot;* &quot;-&quot;??_-;_-@_-"/>
    <numFmt numFmtId="171" formatCode="&quot;$&quot;* #,##0_);[Red]&quot;$&quot;* \(#,##0\)"/>
    <numFmt numFmtId="172" formatCode="_(* #,##0_);_(* \(#,##0\);_(* &quot;-&quot;??_);_(@_)"/>
    <numFmt numFmtId="173" formatCode="0.0%"/>
    <numFmt numFmtId="174" formatCode="[$-409]mmm\-yy;@"/>
    <numFmt numFmtId="175" formatCode="&quot;$&quot;#,##0_);[Red]\(&quot;$&quot;#,##0\)"/>
    <numFmt numFmtId="176" formatCode="0.00_);[Red]\(0.00\)"/>
    <numFmt numFmtId="177" formatCode="#,##0.000;[Red]\-#,##0.000"/>
    <numFmt numFmtId="178" formatCode="#,##0.0;[Red]\-#,##0.0"/>
    <numFmt numFmtId="179" formatCode="&quot;$&quot;#,##0.00_);[Red]\(&quot;$&quot;#,##0.00\)"/>
    <numFmt numFmtId="180" formatCode="_(&quot;$&quot;* #,##0_);_(&quot;$&quot;* \(#,##0\);_(&quot;$&quot;* &quot;-&quot;??_);_(@_)"/>
    <numFmt numFmtId="181" formatCode="0.0000_);[Red]\(0.0000\)"/>
    <numFmt numFmtId="182" formatCode="&quot;$&quot;#,##0.00_);\(&quot;$&quot;#,##0.00\)"/>
    <numFmt numFmtId="183" formatCode="&quot;$&quot;* #,##0.00_);[Red]&quot;$&quot;* \(#,##0.00\)"/>
    <numFmt numFmtId="184" formatCode="* #,##0.00_)%;[Red]* \(#,##0.00\)%"/>
    <numFmt numFmtId="185" formatCode="[$-409]d\-mmm\-yy;@"/>
    <numFmt numFmtId="186" formatCode="0.0000"/>
    <numFmt numFmtId="187" formatCode="0.000"/>
    <numFmt numFmtId="188" formatCode="&quot;$&quot;* #,##0.00_);[Red]&quot;$&quot;* \(\-#,##0.00\)"/>
    <numFmt numFmtId="189" formatCode="&quot;$&quot;* #,##0_);[Red]&quot;$&quot;* \(\-#,##0\)"/>
    <numFmt numFmtId="190" formatCode="&quot;$&quot;* #,##0.000_);[Red]&quot;$&quot;* \(#,##0.000\)"/>
    <numFmt numFmtId="191" formatCode="#,##0_ ;\-#,##0\ "/>
    <numFmt numFmtId="192" formatCode="#,##0.000;\-#,##0.000"/>
    <numFmt numFmtId="193" formatCode="&quot;$&quot;#,##0.00"/>
    <numFmt numFmtId="194" formatCode="0.0000%"/>
  </numFmts>
  <fonts count="47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3"/>
      <name val="Segoe UI Semilight"/>
      <family val="2"/>
      <scheme val="minor"/>
    </font>
    <font>
      <b/>
      <sz val="11"/>
      <color theme="0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1"/>
      <color theme="0"/>
      <name val="Segoe UI Semilight"/>
      <family val="2"/>
      <scheme val="minor"/>
    </font>
    <font>
      <sz val="11"/>
      <name val="Segoe UI Semibold"/>
      <family val="2"/>
    </font>
    <font>
      <sz val="11"/>
      <color theme="1"/>
      <name val="Segoe UI Semibold"/>
      <family val="2"/>
    </font>
    <font>
      <b/>
      <sz val="11"/>
      <name val="Segoe UI Semibold"/>
      <family val="2"/>
    </font>
    <font>
      <sz val="11"/>
      <color theme="3"/>
      <name val="Segoe UI Semilight"/>
      <family val="2"/>
      <scheme val="minor"/>
    </font>
    <font>
      <sz val="11"/>
      <color indexed="12"/>
      <name val="Segoe UI Semilight"/>
      <family val="2"/>
      <scheme val="minor"/>
    </font>
    <font>
      <b/>
      <sz val="11"/>
      <name val="Segoe UI Semilight"/>
      <family val="2"/>
      <scheme val="minor"/>
    </font>
    <font>
      <sz val="11"/>
      <name val="Segoe UI Semilight"/>
      <family val="2"/>
      <scheme val="minor"/>
    </font>
    <font>
      <b/>
      <sz val="11"/>
      <color theme="0"/>
      <name val="Segoe UI Semilight"/>
      <family val="2"/>
      <scheme val="major"/>
    </font>
    <font>
      <b/>
      <sz val="11"/>
      <color theme="0"/>
      <name val="Segoe UI Semibold"/>
      <family val="2"/>
    </font>
    <font>
      <sz val="11"/>
      <color theme="0"/>
      <name val="Segoe UI Semibold"/>
      <family val="2"/>
    </font>
    <font>
      <b/>
      <u/>
      <sz val="11"/>
      <color theme="0"/>
      <name val="Segoe UI Semibold"/>
      <family val="2"/>
    </font>
    <font>
      <sz val="11"/>
      <color theme="6"/>
      <name val="Segoe UI Semibold"/>
      <family val="2"/>
    </font>
    <font>
      <b/>
      <sz val="11"/>
      <color theme="3"/>
      <name val="Segoe UI Semibold"/>
      <family val="2"/>
    </font>
    <font>
      <b/>
      <sz val="9"/>
      <color theme="0"/>
      <name val="Segoe UI Semibold"/>
      <family val="2"/>
    </font>
    <font>
      <sz val="11"/>
      <color indexed="12"/>
      <name val="Segoe UI Semibold"/>
      <family val="2"/>
    </font>
    <font>
      <sz val="11"/>
      <color indexed="8"/>
      <name val="Segoe UI Semibold"/>
      <family val="2"/>
    </font>
    <font>
      <b/>
      <u/>
      <sz val="11"/>
      <name val="Segoe UI Semibold"/>
      <family val="2"/>
    </font>
    <font>
      <sz val="11"/>
      <color theme="3"/>
      <name val="Segoe UI Semibold"/>
      <family val="2"/>
    </font>
    <font>
      <b/>
      <sz val="11"/>
      <color theme="1"/>
      <name val="Segoe UI Semibold"/>
      <family val="2"/>
    </font>
    <font>
      <i/>
      <sz val="11"/>
      <color indexed="8"/>
      <name val="Segoe UI Semilight"/>
      <family val="2"/>
      <scheme val="minor"/>
    </font>
    <font>
      <i/>
      <sz val="11"/>
      <name val="Segoe UI Semilight"/>
      <family val="2"/>
      <scheme val="minor"/>
    </font>
    <font>
      <b/>
      <sz val="11"/>
      <color rgb="FFFF0000"/>
      <name val="Segoe UI Semilight"/>
      <family val="2"/>
      <scheme val="minor"/>
    </font>
    <font>
      <b/>
      <i/>
      <sz val="11"/>
      <color theme="0"/>
      <name val="Segoe UI Semilight"/>
      <family val="2"/>
      <scheme val="minor"/>
    </font>
    <font>
      <sz val="11"/>
      <name val="Segoe UI Semilight"/>
      <family val="2"/>
    </font>
    <font>
      <sz val="11"/>
      <color rgb="FF000000"/>
      <name val="Segoe UI Semilight"/>
      <family val="2"/>
    </font>
    <font>
      <sz val="11"/>
      <color indexed="8"/>
      <name val="Segoe UI Semilight"/>
      <family val="2"/>
      <scheme val="minor"/>
    </font>
    <font>
      <sz val="11"/>
      <color indexed="10"/>
      <name val="Segoe UI Semilight"/>
      <family val="2"/>
      <scheme val="minor"/>
    </font>
    <font>
      <i/>
      <sz val="10"/>
      <color theme="1"/>
      <name val="Segoe UI Semilight"/>
      <family val="2"/>
      <scheme val="minor"/>
    </font>
    <font>
      <sz val="9"/>
      <color theme="1"/>
      <name val="Century Gothic"/>
      <family val="2"/>
    </font>
    <font>
      <b/>
      <sz val="11"/>
      <color indexed="8"/>
      <name val="Segoe UI Semibold"/>
      <family val="2"/>
    </font>
    <font>
      <b/>
      <sz val="11"/>
      <color indexed="12"/>
      <name val="Segoe UI Semilight"/>
      <family val="2"/>
      <scheme val="minor"/>
    </font>
    <font>
      <i/>
      <sz val="10"/>
      <name val="Segoe UI Semilight"/>
      <family val="2"/>
      <scheme val="minor"/>
    </font>
    <font>
      <i/>
      <sz val="11"/>
      <color theme="1"/>
      <name val="Segoe UI Semilight"/>
      <family val="2"/>
      <scheme val="minor"/>
    </font>
    <font>
      <b/>
      <i/>
      <sz val="8"/>
      <color theme="1"/>
      <name val="Segoe UI Semilight"/>
      <family val="2"/>
      <scheme val="minor"/>
    </font>
    <font>
      <b/>
      <sz val="11"/>
      <color rgb="FF000000"/>
      <name val="Segoe UI Semibold"/>
      <family val="2"/>
    </font>
    <font>
      <b/>
      <u/>
      <sz val="11"/>
      <name val="Segoe UI Semilight"/>
      <family val="2"/>
      <scheme val="minor"/>
    </font>
    <font>
      <sz val="11"/>
      <color indexed="10"/>
      <name val="Segoe UI Semibold"/>
      <family val="2"/>
    </font>
    <font>
      <i/>
      <sz val="11"/>
      <color theme="0" tint="-0.499984740745262"/>
      <name val="Segoe UI Semilight"/>
      <family val="2"/>
      <scheme val="minor"/>
    </font>
    <font>
      <b/>
      <i/>
      <sz val="11"/>
      <color theme="0"/>
      <name val="Segoe UI Semibold"/>
      <family val="2"/>
    </font>
    <font>
      <i/>
      <sz val="11"/>
      <color theme="0"/>
      <name val="Segoe UI Semibold"/>
      <family val="2"/>
    </font>
    <font>
      <b/>
      <sz val="11"/>
      <color indexed="12"/>
      <name val="Segoe UI Semibold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F3C4F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indexed="64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77111117893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auto="1"/>
      </top>
      <bottom style="medium">
        <color theme="0" tint="-0.24994659260841701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0" tint="-0.24994659260841701"/>
      </bottom>
      <diagonal/>
    </border>
  </borders>
  <cellStyleXfs count="6">
    <xf numFmtId="0" fontId="0" fillId="0" borderId="0"/>
    <xf numFmtId="37" fontId="1" fillId="0" borderId="0"/>
    <xf numFmtId="171" fontId="12" fillId="0" borderId="0"/>
    <xf numFmtId="173" fontId="1" fillId="0" borderId="0" applyAlignment="0"/>
    <xf numFmtId="166" fontId="13" fillId="5" borderId="2">
      <alignment horizontal="center" vertical="center" wrapText="1"/>
    </xf>
    <xf numFmtId="40" fontId="12" fillId="0" borderId="0"/>
  </cellStyleXfs>
  <cellXfs count="915">
    <xf numFmtId="0" fontId="0" fillId="0" borderId="0" xfId="0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3" borderId="0" xfId="0" applyFont="1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0" fontId="7" fillId="4" borderId="0" xfId="0" applyFon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12" fillId="2" borderId="0" xfId="0" applyFont="1" applyFill="1"/>
    <xf numFmtId="165" fontId="0" fillId="2" borderId="0" xfId="0" applyNumberFormat="1" applyFill="1"/>
    <xf numFmtId="165" fontId="0" fillId="3" borderId="0" xfId="0" applyNumberFormat="1" applyFill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10" fontId="11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1" fillId="3" borderId="0" xfId="0" applyFont="1" applyFill="1"/>
    <xf numFmtId="0" fontId="0" fillId="4" borderId="0" xfId="0" applyFill="1"/>
    <xf numFmtId="166" fontId="14" fillId="6" borderId="0" xfId="4" applyFont="1" applyFill="1" applyBorder="1">
      <alignment horizontal="center" vertical="center" wrapText="1"/>
    </xf>
    <xf numFmtId="166" fontId="14" fillId="6" borderId="3" xfId="4" applyFont="1" applyFill="1" applyBorder="1">
      <alignment horizontal="center" vertical="center" wrapText="1"/>
    </xf>
    <xf numFmtId="166" fontId="14" fillId="6" borderId="4" xfId="4" applyFont="1" applyFill="1" applyBorder="1">
      <alignment horizontal="center" vertical="center" wrapText="1"/>
    </xf>
    <xf numFmtId="166" fontId="14" fillId="6" borderId="1" xfId="4" applyFont="1" applyFill="1" applyBorder="1">
      <alignment horizontal="center" vertical="center" wrapText="1"/>
    </xf>
    <xf numFmtId="166" fontId="3" fillId="2" borderId="0" xfId="0" applyNumberFormat="1" applyFont="1" applyFill="1" applyAlignment="1">
      <alignment wrapText="1"/>
    </xf>
    <xf numFmtId="10" fontId="0" fillId="3" borderId="0" xfId="0" applyNumberFormat="1" applyFill="1" applyAlignment="1">
      <alignment vertical="top" wrapText="1"/>
    </xf>
    <xf numFmtId="10" fontId="0" fillId="2" borderId="0" xfId="0" applyNumberFormat="1" applyFill="1" applyAlignment="1">
      <alignment vertical="top" wrapText="1"/>
    </xf>
    <xf numFmtId="0" fontId="7" fillId="6" borderId="0" xfId="0" applyFont="1" applyFill="1"/>
    <xf numFmtId="10" fontId="3" fillId="2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5" fillId="6" borderId="5" xfId="0" applyFont="1" applyFill="1" applyBorder="1" applyAlignment="1">
      <alignment vertical="center"/>
    </xf>
    <xf numFmtId="166" fontId="14" fillId="6" borderId="6" xfId="0" applyNumberFormat="1" applyFont="1" applyFill="1" applyBorder="1" applyAlignment="1">
      <alignment horizontal="center" vertical="center" wrapText="1"/>
    </xf>
    <xf numFmtId="166" fontId="14" fillId="6" borderId="0" xfId="0" applyNumberFormat="1" applyFont="1" applyFill="1" applyAlignment="1">
      <alignment horizontal="center" vertical="center" wrapText="1"/>
    </xf>
    <xf numFmtId="166" fontId="14" fillId="6" borderId="5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6" fontId="14" fillId="6" borderId="6" xfId="0" applyNumberFormat="1" applyFont="1" applyFill="1" applyBorder="1" applyAlignment="1">
      <alignment horizontal="center" vertical="center"/>
    </xf>
    <xf numFmtId="166" fontId="14" fillId="6" borderId="0" xfId="0" applyNumberFormat="1" applyFont="1" applyFill="1" applyAlignment="1">
      <alignment horizontal="center" vertical="center"/>
    </xf>
    <xf numFmtId="166" fontId="14" fillId="6" borderId="5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166" fontId="14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166" fontId="11" fillId="3" borderId="0" xfId="0" applyNumberFormat="1" applyFont="1" applyFill="1" applyAlignment="1">
      <alignment horizontal="center" wrapText="1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167" fontId="14" fillId="6" borderId="6" xfId="0" applyNumberFormat="1" applyFont="1" applyFill="1" applyBorder="1" applyAlignment="1">
      <alignment horizontal="center" vertical="center"/>
    </xf>
    <xf numFmtId="167" fontId="14" fillId="6" borderId="0" xfId="0" applyNumberFormat="1" applyFont="1" applyFill="1" applyAlignment="1">
      <alignment horizontal="center" vertical="center"/>
    </xf>
    <xf numFmtId="167" fontId="14" fillId="6" borderId="5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5" fillId="6" borderId="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top" wrapText="1"/>
    </xf>
    <xf numFmtId="168" fontId="3" fillId="2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7" fillId="6" borderId="7" xfId="0" applyFont="1" applyFill="1" applyBorder="1" applyAlignment="1">
      <alignment vertical="center"/>
    </xf>
    <xf numFmtId="168" fontId="3" fillId="3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top" wrapText="1"/>
    </xf>
    <xf numFmtId="0" fontId="14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6" fillId="6" borderId="0" xfId="0" applyFont="1" applyFill="1"/>
    <xf numFmtId="0" fontId="0" fillId="2" borderId="0" xfId="0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6" fontId="14" fillId="5" borderId="9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170" fontId="14" fillId="5" borderId="0" xfId="0" applyNumberFormat="1" applyFont="1" applyFill="1" applyAlignment="1">
      <alignment horizontal="center" vertical="center"/>
    </xf>
    <xf numFmtId="170" fontId="14" fillId="5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5" fontId="14" fillId="5" borderId="6" xfId="0" applyNumberFormat="1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8" fontId="14" fillId="5" borderId="1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168" fontId="14" fillId="5" borderId="7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168" fontId="15" fillId="5" borderId="7" xfId="0" applyNumberFormat="1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68" fontId="14" fillId="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8" fontId="14" fillId="5" borderId="5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166" fontId="14" fillId="5" borderId="0" xfId="0" applyNumberFormat="1" applyFont="1" applyFill="1" applyAlignment="1">
      <alignment vertical="center" wrapText="1"/>
    </xf>
    <xf numFmtId="166" fontId="14" fillId="5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166" fontId="18" fillId="2" borderId="13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quotePrefix="1" applyFont="1" applyFill="1" applyBorder="1" applyAlignment="1">
      <alignment horizontal="center" vertical="center"/>
    </xf>
    <xf numFmtId="166" fontId="18" fillId="2" borderId="1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66" fontId="18" fillId="2" borderId="0" xfId="0" applyNumberFormat="1" applyFont="1" applyFill="1" applyAlignment="1">
      <alignment horizontal="center" vertical="center"/>
    </xf>
    <xf numFmtId="0" fontId="18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6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169" fontId="0" fillId="2" borderId="0" xfId="0" applyNumberFormat="1" applyFill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164" fontId="18" fillId="2" borderId="13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5" fontId="11" fillId="3" borderId="0" xfId="0" applyNumberFormat="1" applyFont="1" applyFill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quotePrefix="1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/>
    </xf>
    <xf numFmtId="166" fontId="14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6" fontId="14" fillId="7" borderId="6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5" xfId="0" applyFont="1" applyFill="1" applyBorder="1" applyAlignment="1">
      <alignment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166" fontId="14" fillId="8" borderId="1" xfId="0" applyNumberFormat="1" applyFont="1" applyFill="1" applyBorder="1" applyAlignment="1">
      <alignment wrapText="1"/>
    </xf>
    <xf numFmtId="0" fontId="15" fillId="8" borderId="1" xfId="0" applyFont="1" applyFill="1" applyBorder="1"/>
    <xf numFmtId="0" fontId="5" fillId="2" borderId="0" xfId="0" applyFont="1" applyFill="1"/>
    <xf numFmtId="0" fontId="4" fillId="2" borderId="0" xfId="0" applyFont="1" applyFill="1"/>
    <xf numFmtId="0" fontId="24" fillId="4" borderId="0" xfId="0" applyFont="1" applyFill="1"/>
    <xf numFmtId="0" fontId="18" fillId="4" borderId="0" xfId="0" applyFont="1" applyFill="1" applyAlignment="1">
      <alignment horizontal="center"/>
    </xf>
    <xf numFmtId="0" fontId="6" fillId="4" borderId="0" xfId="0" applyFont="1" applyFill="1"/>
    <xf numFmtId="0" fontId="8" fillId="4" borderId="0" xfId="0" applyFont="1" applyFill="1"/>
    <xf numFmtId="0" fontId="0" fillId="4" borderId="5" xfId="0" applyFill="1" applyBorder="1"/>
    <xf numFmtId="0" fontId="0" fillId="4" borderId="6" xfId="0" applyFill="1" applyBorder="1"/>
    <xf numFmtId="0" fontId="8" fillId="4" borderId="5" xfId="0" applyFont="1" applyFill="1" applyBorder="1"/>
    <xf numFmtId="37" fontId="0" fillId="4" borderId="0" xfId="1" applyFont="1" applyFill="1"/>
    <xf numFmtId="171" fontId="12" fillId="4" borderId="0" xfId="2" applyFill="1"/>
    <xf numFmtId="171" fontId="12" fillId="4" borderId="5" xfId="2" applyFill="1" applyBorder="1"/>
    <xf numFmtId="169" fontId="0" fillId="2" borderId="0" xfId="0" applyNumberFormat="1" applyFill="1"/>
    <xf numFmtId="166" fontId="12" fillId="4" borderId="5" xfId="0" applyNumberFormat="1" applyFont="1" applyFill="1" applyBorder="1"/>
    <xf numFmtId="165" fontId="0" fillId="4" borderId="0" xfId="0" applyNumberFormat="1" applyFill="1"/>
    <xf numFmtId="0" fontId="25" fillId="4" borderId="0" xfId="0" applyFont="1" applyFill="1" applyAlignment="1">
      <alignment horizontal="right" wrapText="1"/>
    </xf>
    <xf numFmtId="165" fontId="26" fillId="4" borderId="0" xfId="0" applyNumberFormat="1" applyFont="1" applyFill="1"/>
    <xf numFmtId="165" fontId="26" fillId="4" borderId="6" xfId="0" applyNumberFormat="1" applyFont="1" applyFill="1" applyBorder="1"/>
    <xf numFmtId="0" fontId="7" fillId="4" borderId="5" xfId="0" applyFont="1" applyFill="1" applyBorder="1"/>
    <xf numFmtId="0" fontId="8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/>
    </xf>
    <xf numFmtId="164" fontId="12" fillId="2" borderId="0" xfId="0" applyNumberFormat="1" applyFont="1" applyFill="1"/>
    <xf numFmtId="164" fontId="12" fillId="3" borderId="0" xfId="0" applyNumberFormat="1" applyFont="1" applyFill="1"/>
    <xf numFmtId="0" fontId="26" fillId="4" borderId="5" xfId="0" applyFont="1" applyFill="1" applyBorder="1" applyAlignment="1">
      <alignment horizontal="left"/>
    </xf>
    <xf numFmtId="166" fontId="26" fillId="4" borderId="0" xfId="0" applyNumberFormat="1" applyFont="1" applyFill="1"/>
    <xf numFmtId="165" fontId="26" fillId="4" borderId="5" xfId="0" applyNumberFormat="1" applyFont="1" applyFill="1" applyBorder="1"/>
    <xf numFmtId="170" fontId="0" fillId="2" borderId="0" xfId="0" applyNumberFormat="1" applyFill="1"/>
    <xf numFmtId="0" fontId="0" fillId="4" borderId="0" xfId="0" applyFill="1" applyAlignment="1">
      <alignment horizontal="center"/>
    </xf>
    <xf numFmtId="166" fontId="0" fillId="4" borderId="0" xfId="0" applyNumberFormat="1" applyFill="1"/>
    <xf numFmtId="172" fontId="0" fillId="4" borderId="0" xfId="0" applyNumberFormat="1" applyFill="1"/>
    <xf numFmtId="40" fontId="12" fillId="4" borderId="0" xfId="5" applyFill="1"/>
    <xf numFmtId="173" fontId="0" fillId="4" borderId="0" xfId="3" applyFont="1" applyFill="1"/>
    <xf numFmtId="0" fontId="18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0" fontId="12" fillId="4" borderId="5" xfId="5" applyFill="1" applyBorder="1" applyAlignment="1">
      <alignment horizontal="center"/>
    </xf>
    <xf numFmtId="170" fontId="0" fillId="2" borderId="0" xfId="0" applyNumberFormat="1" applyFill="1" applyAlignment="1">
      <alignment horizontal="justify" vertical="distributed"/>
    </xf>
    <xf numFmtId="170" fontId="0" fillId="3" borderId="0" xfId="0" applyNumberFormat="1" applyFill="1" applyAlignment="1">
      <alignment horizontal="justify" vertical="distributed"/>
    </xf>
    <xf numFmtId="0" fontId="23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8" fontId="0" fillId="4" borderId="5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2" fontId="0" fillId="4" borderId="0" xfId="0" applyNumberFormat="1" applyFill="1"/>
    <xf numFmtId="0" fontId="27" fillId="4" borderId="0" xfId="0" applyFont="1" applyFill="1"/>
    <xf numFmtId="2" fontId="0" fillId="4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7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right" vertical="center" wrapText="1"/>
    </xf>
    <xf numFmtId="168" fontId="14" fillId="8" borderId="0" xfId="0" applyNumberFormat="1" applyFont="1" applyFill="1" applyAlignment="1">
      <alignment horizontal="center" vertical="center" wrapText="1"/>
    </xf>
    <xf numFmtId="2" fontId="14" fillId="8" borderId="5" xfId="0" applyNumberFormat="1" applyFont="1" applyFill="1" applyBorder="1" applyAlignment="1">
      <alignment horizontal="right" vertical="center" wrapText="1"/>
    </xf>
    <xf numFmtId="2" fontId="14" fillId="8" borderId="0" xfId="0" applyNumberFormat="1" applyFont="1" applyFill="1" applyAlignment="1">
      <alignment horizontal="right" vertical="center" wrapText="1"/>
    </xf>
    <xf numFmtId="10" fontId="14" fillId="8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top" wrapText="1"/>
    </xf>
    <xf numFmtId="10" fontId="0" fillId="3" borderId="0" xfId="0" applyNumberFormat="1" applyFill="1"/>
    <xf numFmtId="0" fontId="0" fillId="4" borderId="5" xfId="0" applyFill="1" applyBorder="1" applyAlignment="1">
      <alignment horizontal="center"/>
    </xf>
    <xf numFmtId="0" fontId="0" fillId="3" borderId="0" xfId="0" applyFill="1" applyAlignment="1">
      <alignment vertical="top" wrapText="1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5" xfId="0" applyFill="1" applyBorder="1"/>
    <xf numFmtId="171" fontId="12" fillId="2" borderId="6" xfId="2" applyFill="1" applyBorder="1"/>
    <xf numFmtId="40" fontId="12" fillId="2" borderId="5" xfId="5" applyFill="1" applyBorder="1"/>
    <xf numFmtId="40" fontId="12" fillId="2" borderId="0" xfId="5" applyFill="1"/>
    <xf numFmtId="171" fontId="12" fillId="2" borderId="5" xfId="2" applyFill="1" applyBorder="1"/>
    <xf numFmtId="173" fontId="0" fillId="2" borderId="0" xfId="3" applyFont="1" applyFill="1"/>
    <xf numFmtId="0" fontId="0" fillId="2" borderId="0" xfId="0" applyFill="1" applyAlignment="1">
      <alignment horizontal="left" vertical="center" wrapText="1" indent="1"/>
    </xf>
    <xf numFmtId="171" fontId="12" fillId="2" borderId="0" xfId="2" applyFill="1"/>
    <xf numFmtId="0" fontId="12" fillId="2" borderId="0" xfId="0" applyFont="1" applyFill="1" applyAlignment="1">
      <alignment horizontal="left" indent="1"/>
    </xf>
    <xf numFmtId="166" fontId="0" fillId="2" borderId="0" xfId="0" applyNumberFormat="1" applyFill="1"/>
    <xf numFmtId="175" fontId="0" fillId="2" borderId="0" xfId="0" applyNumberFormat="1" applyFill="1"/>
    <xf numFmtId="176" fontId="0" fillId="2" borderId="0" xfId="0" applyNumberFormat="1" applyFill="1"/>
    <xf numFmtId="168" fontId="0" fillId="2" borderId="0" xfId="0" applyNumberFormat="1" applyFill="1"/>
    <xf numFmtId="173" fontId="0" fillId="2" borderId="0" xfId="0" applyNumberFormat="1" applyFill="1"/>
    <xf numFmtId="171" fontId="29" fillId="9" borderId="14" xfId="2" applyFont="1" applyFill="1" applyBorder="1"/>
    <xf numFmtId="39" fontId="30" fillId="9" borderId="0" xfId="1" applyNumberFormat="1" applyFont="1" applyFill="1"/>
    <xf numFmtId="39" fontId="1" fillId="2" borderId="0" xfId="1" applyNumberFormat="1" applyFill="1"/>
    <xf numFmtId="173" fontId="1" fillId="2" borderId="0" xfId="3" applyFill="1"/>
    <xf numFmtId="173" fontId="1" fillId="2" borderId="6" xfId="3" applyFill="1" applyBorder="1"/>
    <xf numFmtId="0" fontId="8" fillId="2" borderId="5" xfId="0" applyFont="1" applyFill="1" applyBorder="1"/>
    <xf numFmtId="37" fontId="0" fillId="2" borderId="0" xfId="1" applyFont="1" applyFill="1"/>
    <xf numFmtId="166" fontId="12" fillId="2" borderId="5" xfId="0" applyNumberFormat="1" applyFont="1" applyFill="1" applyBorder="1"/>
    <xf numFmtId="171" fontId="12" fillId="0" borderId="5" xfId="2" applyBorder="1"/>
    <xf numFmtId="171" fontId="12" fillId="0" borderId="0" xfId="2"/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left" wrapText="1"/>
    </xf>
    <xf numFmtId="0" fontId="12" fillId="2" borderId="5" xfId="0" applyFont="1" applyFill="1" applyBorder="1"/>
    <xf numFmtId="0" fontId="18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0" fontId="12" fillId="2" borderId="5" xfId="5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2" fontId="0" fillId="2" borderId="0" xfId="0" applyNumberFormat="1" applyFill="1"/>
    <xf numFmtId="37" fontId="0" fillId="0" borderId="0" xfId="1" applyFont="1"/>
    <xf numFmtId="2" fontId="0" fillId="2" borderId="0" xfId="0" applyNumberFormat="1" applyFill="1" applyAlignment="1">
      <alignment horizontal="right" vertical="center"/>
    </xf>
    <xf numFmtId="174" fontId="12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0" fillId="10" borderId="7" xfId="0" applyNumberFormat="1" applyFill="1" applyBorder="1" applyAlignment="1">
      <alignment horizontal="right" vertical="center"/>
    </xf>
    <xf numFmtId="171" fontId="12" fillId="10" borderId="5" xfId="2" applyFill="1" applyBorder="1"/>
    <xf numFmtId="171" fontId="12" fillId="10" borderId="0" xfId="2" applyFill="1"/>
    <xf numFmtId="0" fontId="0" fillId="2" borderId="5" xfId="0" applyFill="1" applyBorder="1" applyAlignment="1">
      <alignment horizontal="center"/>
    </xf>
    <xf numFmtId="177" fontId="12" fillId="4" borderId="0" xfId="5" applyNumberFormat="1" applyFill="1"/>
    <xf numFmtId="171" fontId="12" fillId="4" borderId="6" xfId="2" applyFill="1" applyBorder="1"/>
    <xf numFmtId="0" fontId="11" fillId="4" borderId="0" xfId="0" applyFont="1" applyFill="1"/>
    <xf numFmtId="171" fontId="29" fillId="11" borderId="0" xfId="2" applyFont="1" applyFill="1"/>
    <xf numFmtId="173" fontId="0" fillId="4" borderId="0" xfId="0" applyNumberFormat="1" applyFill="1"/>
    <xf numFmtId="0" fontId="9" fillId="4" borderId="0" xfId="0" applyFont="1" applyFill="1"/>
    <xf numFmtId="40" fontId="12" fillId="4" borderId="5" xfId="5" applyFill="1" applyBorder="1"/>
    <xf numFmtId="0" fontId="18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 indent="1"/>
    </xf>
    <xf numFmtId="178" fontId="12" fillId="4" borderId="0" xfId="5" applyNumberFormat="1" applyFill="1"/>
    <xf numFmtId="0" fontId="12" fillId="4" borderId="0" xfId="0" applyFont="1" applyFill="1" applyAlignment="1">
      <alignment horizontal="left" indent="1"/>
    </xf>
    <xf numFmtId="168" fontId="0" fillId="4" borderId="0" xfId="0" applyNumberFormat="1" applyFill="1" applyAlignment="1">
      <alignment horizontal="center"/>
    </xf>
    <xf numFmtId="0" fontId="12" fillId="4" borderId="0" xfId="0" applyFont="1" applyFill="1"/>
    <xf numFmtId="0" fontId="0" fillId="4" borderId="0" xfId="0" applyFill="1" applyAlignment="1">
      <alignment horizontal="left" indent="1"/>
    </xf>
    <xf numFmtId="175" fontId="0" fillId="4" borderId="0" xfId="0" applyNumberFormat="1" applyFill="1"/>
    <xf numFmtId="176" fontId="0" fillId="4" borderId="0" xfId="0" applyNumberFormat="1" applyFill="1"/>
    <xf numFmtId="168" fontId="0" fillId="4" borderId="0" xfId="0" applyNumberFormat="1" applyFill="1"/>
    <xf numFmtId="171" fontId="29" fillId="11" borderId="14" xfId="2" applyFont="1" applyFill="1" applyBorder="1"/>
    <xf numFmtId="39" fontId="30" fillId="11" borderId="0" xfId="1" applyNumberFormat="1" applyFont="1" applyFill="1"/>
    <xf numFmtId="39" fontId="1" fillId="4" borderId="0" xfId="1" applyNumberFormat="1" applyFill="1"/>
    <xf numFmtId="173" fontId="1" fillId="4" borderId="0" xfId="3" applyFill="1"/>
    <xf numFmtId="173" fontId="1" fillId="4" borderId="6" xfId="3" applyFill="1" applyBorder="1"/>
    <xf numFmtId="0" fontId="18" fillId="4" borderId="15" xfId="0" applyFont="1" applyFill="1" applyBorder="1" applyAlignment="1">
      <alignment horizontal="center"/>
    </xf>
    <xf numFmtId="0" fontId="8" fillId="4" borderId="16" xfId="0" applyFont="1" applyFill="1" applyBorder="1"/>
    <xf numFmtId="37" fontId="0" fillId="4" borderId="15" xfId="1" applyFont="1" applyFill="1" applyBorder="1"/>
    <xf numFmtId="171" fontId="12" fillId="4" borderId="15" xfId="2" applyFill="1" applyBorder="1"/>
    <xf numFmtId="171" fontId="12" fillId="4" borderId="16" xfId="2" applyFill="1" applyBorder="1"/>
    <xf numFmtId="166" fontId="12" fillId="4" borderId="16" xfId="0" applyNumberFormat="1" applyFont="1" applyFill="1" applyBorder="1"/>
    <xf numFmtId="165" fontId="0" fillId="4" borderId="15" xfId="0" applyNumberFormat="1" applyFill="1" applyBorder="1"/>
    <xf numFmtId="0" fontId="31" fillId="4" borderId="0" xfId="0" applyFont="1" applyFill="1" applyAlignment="1">
      <alignment horizontal="left"/>
    </xf>
    <xf numFmtId="0" fontId="12" fillId="3" borderId="0" xfId="0" applyFont="1" applyFill="1"/>
    <xf numFmtId="0" fontId="0" fillId="4" borderId="16" xfId="0" applyFill="1" applyBorder="1"/>
    <xf numFmtId="0" fontId="32" fillId="4" borderId="0" xfId="0" applyFont="1" applyFill="1" applyAlignment="1">
      <alignment horizontal="center"/>
    </xf>
    <xf numFmtId="0" fontId="31" fillId="4" borderId="5" xfId="0" applyFont="1" applyFill="1" applyBorder="1" applyAlignment="1">
      <alignment horizontal="left" wrapText="1"/>
    </xf>
    <xf numFmtId="164" fontId="0" fillId="3" borderId="0" xfId="0" applyNumberFormat="1" applyFill="1"/>
    <xf numFmtId="0" fontId="12" fillId="4" borderId="5" xfId="0" applyFont="1" applyFill="1" applyBorder="1"/>
    <xf numFmtId="0" fontId="18" fillId="4" borderId="5" xfId="0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indent="1"/>
    </xf>
    <xf numFmtId="171" fontId="12" fillId="4" borderId="2" xfId="2" applyFill="1" applyBorder="1"/>
    <xf numFmtId="177" fontId="12" fillId="2" borderId="0" xfId="5" applyNumberFormat="1" applyFill="1"/>
    <xf numFmtId="171" fontId="29" fillId="9" borderId="0" xfId="2" applyFont="1" applyFill="1"/>
    <xf numFmtId="166" fontId="3" fillId="8" borderId="1" xfId="0" applyNumberFormat="1" applyFont="1" applyFill="1" applyBorder="1" applyAlignment="1">
      <alignment wrapText="1"/>
    </xf>
    <xf numFmtId="0" fontId="5" fillId="8" borderId="1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indent="1"/>
    </xf>
    <xf numFmtId="179" fontId="0" fillId="2" borderId="1" xfId="0" applyNumberFormat="1" applyFill="1" applyBorder="1" applyAlignment="1">
      <alignment horizontal="right"/>
    </xf>
    <xf numFmtId="0" fontId="11" fillId="3" borderId="0" xfId="0" applyFont="1" applyFill="1" applyAlignment="1">
      <alignment horizontal="center" wrapText="1"/>
    </xf>
    <xf numFmtId="0" fontId="18" fillId="2" borderId="17" xfId="0" applyFont="1" applyFill="1" applyBorder="1" applyAlignment="1">
      <alignment horizontal="center"/>
    </xf>
    <xf numFmtId="0" fontId="8" fillId="2" borderId="18" xfId="0" applyFont="1" applyFill="1" applyBorder="1"/>
    <xf numFmtId="37" fontId="24" fillId="2" borderId="17" xfId="1" applyFont="1" applyFill="1" applyBorder="1"/>
    <xf numFmtId="171" fontId="8" fillId="2" borderId="17" xfId="2" applyFont="1" applyFill="1" applyBorder="1"/>
    <xf numFmtId="171" fontId="8" fillId="2" borderId="18" xfId="2" applyFont="1" applyFill="1" applyBorder="1"/>
    <xf numFmtId="165" fontId="8" fillId="2" borderId="17" xfId="0" applyNumberFormat="1" applyFont="1" applyFill="1" applyBorder="1"/>
    <xf numFmtId="171" fontId="12" fillId="0" borderId="18" xfId="2" applyBorder="1"/>
    <xf numFmtId="171" fontId="12" fillId="2" borderId="17" xfId="2" applyFill="1" applyBorder="1"/>
    <xf numFmtId="171" fontId="8" fillId="0" borderId="19" xfId="2" applyFont="1" applyBorder="1"/>
    <xf numFmtId="171" fontId="8" fillId="0" borderId="20" xfId="2" applyFont="1" applyBorder="1"/>
    <xf numFmtId="0" fontId="18" fillId="2" borderId="21" xfId="0" applyFont="1" applyFill="1" applyBorder="1" applyAlignment="1">
      <alignment horizontal="center"/>
    </xf>
    <xf numFmtId="37" fontId="8" fillId="2" borderId="22" xfId="0" applyNumberFormat="1" applyFont="1" applyFill="1" applyBorder="1" applyAlignment="1">
      <alignment horizontal="right"/>
    </xf>
    <xf numFmtId="171" fontId="8" fillId="2" borderId="21" xfId="2" applyFont="1" applyFill="1" applyBorder="1"/>
    <xf numFmtId="171" fontId="8" fillId="2" borderId="22" xfId="2" applyFont="1" applyFill="1" applyBorder="1"/>
    <xf numFmtId="0" fontId="18" fillId="2" borderId="23" xfId="0" applyFont="1" applyFill="1" applyBorder="1" applyAlignment="1">
      <alignment horizontal="center"/>
    </xf>
    <xf numFmtId="171" fontId="12" fillId="2" borderId="23" xfId="2" applyFill="1" applyBorder="1"/>
    <xf numFmtId="17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11" fillId="2" borderId="0" xfId="0" applyNumberFormat="1" applyFont="1" applyFill="1"/>
    <xf numFmtId="165" fontId="4" fillId="2" borderId="0" xfId="0" applyNumberFormat="1" applyFont="1" applyFill="1"/>
    <xf numFmtId="0" fontId="12" fillId="4" borderId="0" xfId="0" applyFont="1" applyFill="1" applyAlignment="1">
      <alignment horizontal="left"/>
    </xf>
    <xf numFmtId="0" fontId="33" fillId="2" borderId="0" xfId="0" applyFont="1" applyFill="1"/>
    <xf numFmtId="170" fontId="0" fillId="3" borderId="0" xfId="0" applyNumberFormat="1" applyFill="1"/>
    <xf numFmtId="10" fontId="24" fillId="4" borderId="0" xfId="0" applyNumberFormat="1" applyFont="1" applyFill="1"/>
    <xf numFmtId="180" fontId="34" fillId="4" borderId="0" xfId="2" applyNumberFormat="1" applyFont="1" applyFill="1"/>
    <xf numFmtId="0" fontId="18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2" borderId="4" xfId="0" applyFill="1" applyBorder="1"/>
    <xf numFmtId="175" fontId="0" fillId="2" borderId="1" xfId="0" applyNumberFormat="1" applyFill="1" applyBorder="1"/>
    <xf numFmtId="176" fontId="0" fillId="2" borderId="1" xfId="0" applyNumberFormat="1" applyFill="1" applyBorder="1"/>
    <xf numFmtId="168" fontId="0" fillId="2" borderId="1" xfId="0" applyNumberFormat="1" applyFill="1" applyBorder="1"/>
    <xf numFmtId="173" fontId="0" fillId="2" borderId="1" xfId="0" applyNumberFormat="1" applyFill="1" applyBorder="1"/>
    <xf numFmtId="0" fontId="0" fillId="2" borderId="1" xfId="0" applyFill="1" applyBorder="1"/>
    <xf numFmtId="171" fontId="29" fillId="9" borderId="24" xfId="2" applyFont="1" applyFill="1" applyBorder="1"/>
    <xf numFmtId="39" fontId="30" fillId="9" borderId="25" xfId="1" applyNumberFormat="1" applyFont="1" applyFill="1" applyBorder="1"/>
    <xf numFmtId="39" fontId="1" fillId="2" borderId="2" xfId="1" applyNumberFormat="1" applyFill="1" applyBorder="1"/>
    <xf numFmtId="171" fontId="12" fillId="2" borderId="26" xfId="2" applyFill="1" applyBorder="1"/>
    <xf numFmtId="173" fontId="1" fillId="2" borderId="26" xfId="3" applyFill="1" applyBorder="1"/>
    <xf numFmtId="166" fontId="12" fillId="2" borderId="0" xfId="0" applyNumberFormat="1" applyFont="1" applyFill="1"/>
    <xf numFmtId="0" fontId="18" fillId="2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171" fontId="12" fillId="2" borderId="15" xfId="2" applyFill="1" applyBorder="1"/>
    <xf numFmtId="171" fontId="12" fillId="2" borderId="27" xfId="2" applyFill="1" applyBorder="1"/>
    <xf numFmtId="0" fontId="18" fillId="0" borderId="0" xfId="0" applyFont="1" applyAlignment="1">
      <alignment horizontal="center"/>
    </xf>
    <xf numFmtId="0" fontId="0" fillId="0" borderId="5" xfId="0" applyBorder="1"/>
    <xf numFmtId="0" fontId="3" fillId="8" borderId="0" xfId="0" applyFont="1" applyFill="1"/>
    <xf numFmtId="10" fontId="1" fillId="2" borderId="0" xfId="3" applyNumberFormat="1" applyFill="1"/>
    <xf numFmtId="0" fontId="0" fillId="2" borderId="0" xfId="0" applyFill="1" applyAlignment="1">
      <alignment horizontal="left" vertical="top" wrapText="1" indent="1"/>
    </xf>
    <xf numFmtId="173" fontId="0" fillId="3" borderId="0" xfId="0" applyNumberFormat="1" applyFill="1"/>
    <xf numFmtId="181" fontId="0" fillId="4" borderId="0" xfId="0" applyNumberFormat="1" applyFill="1"/>
    <xf numFmtId="173" fontId="1" fillId="4" borderId="28" xfId="3" applyFill="1" applyBorder="1"/>
    <xf numFmtId="0" fontId="18" fillId="4" borderId="17" xfId="0" applyFont="1" applyFill="1" applyBorder="1" applyAlignment="1">
      <alignment horizontal="center"/>
    </xf>
    <xf numFmtId="0" fontId="8" fillId="4" borderId="17" xfId="0" applyFont="1" applyFill="1" applyBorder="1"/>
    <xf numFmtId="171" fontId="8" fillId="4" borderId="21" xfId="2" applyFont="1" applyFill="1" applyBorder="1"/>
    <xf numFmtId="171" fontId="8" fillId="4" borderId="22" xfId="2" applyFont="1" applyFill="1" applyBorder="1"/>
    <xf numFmtId="0" fontId="12" fillId="4" borderId="1" xfId="0" applyFont="1" applyFill="1" applyBorder="1" applyAlignment="1">
      <alignment horizontal="left" indent="1"/>
    </xf>
    <xf numFmtId="171" fontId="12" fillId="2" borderId="1" xfId="2" applyFill="1" applyBorder="1"/>
    <xf numFmtId="177" fontId="12" fillId="2" borderId="1" xfId="5" applyNumberFormat="1" applyFill="1" applyBorder="1"/>
    <xf numFmtId="171" fontId="12" fillId="2" borderId="3" xfId="2" applyFill="1" applyBorder="1"/>
    <xf numFmtId="171" fontId="29" fillId="9" borderId="25" xfId="2" applyFont="1" applyFill="1" applyBorder="1"/>
    <xf numFmtId="173" fontId="12" fillId="2" borderId="1" xfId="0" applyNumberFormat="1" applyFont="1" applyFill="1" applyBorder="1"/>
    <xf numFmtId="0" fontId="8" fillId="2" borderId="0" xfId="0" applyFont="1" applyFill="1"/>
    <xf numFmtId="0" fontId="7" fillId="2" borderId="5" xfId="0" applyFont="1" applyFill="1" applyBorder="1"/>
    <xf numFmtId="182" fontId="0" fillId="2" borderId="1" xfId="0" applyNumberFormat="1" applyFill="1" applyBorder="1"/>
    <xf numFmtId="0" fontId="18" fillId="0" borderId="17" xfId="0" applyFont="1" applyBorder="1" applyAlignment="1">
      <alignment horizontal="center"/>
    </xf>
    <xf numFmtId="0" fontId="8" fillId="0" borderId="18" xfId="0" applyFont="1" applyBorder="1"/>
    <xf numFmtId="171" fontId="8" fillId="0" borderId="17" xfId="2" applyFont="1" applyBorder="1"/>
    <xf numFmtId="171" fontId="8" fillId="0" borderId="18" xfId="2" applyFont="1" applyBorder="1"/>
    <xf numFmtId="173" fontId="0" fillId="2" borderId="5" xfId="3" applyFont="1" applyFill="1" applyBorder="1"/>
    <xf numFmtId="171" fontId="8" fillId="2" borderId="0" xfId="2" applyFont="1" applyFill="1"/>
    <xf numFmtId="0" fontId="0" fillId="12" borderId="0" xfId="0" applyFill="1"/>
    <xf numFmtId="165" fontId="0" fillId="2" borderId="0" xfId="0" applyNumberForma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/>
    <xf numFmtId="0" fontId="0" fillId="4" borderId="4" xfId="0" applyFill="1" applyBorder="1"/>
    <xf numFmtId="175" fontId="0" fillId="4" borderId="1" xfId="0" applyNumberFormat="1" applyFill="1" applyBorder="1"/>
    <xf numFmtId="176" fontId="0" fillId="4" borderId="1" xfId="0" applyNumberFormat="1" applyFill="1" applyBorder="1"/>
    <xf numFmtId="168" fontId="0" fillId="4" borderId="1" xfId="0" applyNumberFormat="1" applyFill="1" applyBorder="1"/>
    <xf numFmtId="173" fontId="0" fillId="4" borderId="1" xfId="0" applyNumberFormat="1" applyFill="1" applyBorder="1"/>
    <xf numFmtId="171" fontId="29" fillId="11" borderId="24" xfId="2" applyFont="1" applyFill="1" applyBorder="1"/>
    <xf numFmtId="39" fontId="30" fillId="11" borderId="25" xfId="1" applyNumberFormat="1" applyFont="1" applyFill="1" applyBorder="1"/>
    <xf numFmtId="39" fontId="1" fillId="4" borderId="2" xfId="1" applyNumberFormat="1" applyFill="1" applyBorder="1"/>
    <xf numFmtId="171" fontId="12" fillId="4" borderId="26" xfId="2" applyFill="1" applyBorder="1"/>
    <xf numFmtId="173" fontId="1" fillId="4" borderId="26" xfId="3" applyFill="1" applyBorder="1"/>
    <xf numFmtId="0" fontId="24" fillId="2" borderId="0" xfId="0" applyFont="1" applyFill="1"/>
    <xf numFmtId="173" fontId="1" fillId="2" borderId="28" xfId="3" applyFill="1" applyBorder="1"/>
    <xf numFmtId="0" fontId="32" fillId="4" borderId="1" xfId="0" applyFont="1" applyFill="1" applyBorder="1" applyAlignment="1">
      <alignment horizontal="center"/>
    </xf>
    <xf numFmtId="0" fontId="35" fillId="4" borderId="4" xfId="0" applyFont="1" applyFill="1" applyBorder="1" applyAlignment="1">
      <alignment horizontal="right" wrapText="1"/>
    </xf>
    <xf numFmtId="171" fontId="8" fillId="4" borderId="0" xfId="2" applyFont="1" applyFill="1"/>
    <xf numFmtId="171" fontId="8" fillId="4" borderId="5" xfId="2" applyFont="1" applyFill="1" applyBorder="1"/>
    <xf numFmtId="171" fontId="8" fillId="2" borderId="6" xfId="2" applyFont="1" applyFill="1" applyBorder="1"/>
    <xf numFmtId="40" fontId="8" fillId="2" borderId="5" xfId="5" applyFont="1" applyFill="1" applyBorder="1"/>
    <xf numFmtId="40" fontId="8" fillId="2" borderId="0" xfId="5" applyFont="1" applyFill="1"/>
    <xf numFmtId="171" fontId="8" fillId="2" borderId="5" xfId="2" applyFont="1" applyFill="1" applyBorder="1"/>
    <xf numFmtId="173" fontId="24" fillId="2" borderId="0" xfId="3" applyFont="1" applyFill="1"/>
    <xf numFmtId="0" fontId="18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indent="1"/>
    </xf>
    <xf numFmtId="179" fontId="0" fillId="2" borderId="17" xfId="0" applyNumberFormat="1" applyFill="1" applyBorder="1" applyAlignment="1">
      <alignment horizontal="right"/>
    </xf>
    <xf numFmtId="0" fontId="14" fillId="8" borderId="1" xfId="0" applyFont="1" applyFill="1" applyBorder="1" applyAlignment="1">
      <alignment horizontal="left" indent="1"/>
    </xf>
    <xf numFmtId="0" fontId="14" fillId="8" borderId="0" xfId="0" applyFont="1" applyFill="1" applyAlignment="1">
      <alignment horizontal="left" indent="1"/>
    </xf>
    <xf numFmtId="165" fontId="11" fillId="2" borderId="0" xfId="0" applyNumberFormat="1" applyFont="1" applyFill="1"/>
    <xf numFmtId="171" fontId="12" fillId="2" borderId="11" xfId="2" applyFill="1" applyBorder="1"/>
    <xf numFmtId="171" fontId="12" fillId="2" borderId="12" xfId="2" applyFill="1" applyBorder="1"/>
    <xf numFmtId="177" fontId="8" fillId="4" borderId="0" xfId="5" applyNumberFormat="1" applyFont="1" applyFill="1"/>
    <xf numFmtId="171" fontId="8" fillId="4" borderId="6" xfId="2" applyFont="1" applyFill="1" applyBorder="1"/>
    <xf numFmtId="171" fontId="8" fillId="11" borderId="0" xfId="2" applyFont="1" applyFill="1"/>
    <xf numFmtId="171" fontId="8" fillId="4" borderId="11" xfId="2" applyFont="1" applyFill="1" applyBorder="1"/>
    <xf numFmtId="173" fontId="1" fillId="4" borderId="11" xfId="3" applyFill="1" applyBorder="1"/>
    <xf numFmtId="40" fontId="8" fillId="4" borderId="5" xfId="5" applyFont="1" applyFill="1" applyBorder="1"/>
    <xf numFmtId="40" fontId="8" fillId="4" borderId="0" xfId="5" applyFont="1" applyFill="1"/>
    <xf numFmtId="173" fontId="24" fillId="4" borderId="0" xfId="3" applyFont="1" applyFill="1"/>
    <xf numFmtId="0" fontId="18" fillId="2" borderId="0" xfId="0" applyFont="1" applyFill="1"/>
    <xf numFmtId="0" fontId="0" fillId="2" borderId="0" xfId="0" applyFill="1" applyAlignment="1">
      <alignment horizontal="left" indent="1"/>
    </xf>
    <xf numFmtId="175" fontId="36" fillId="2" borderId="0" xfId="0" applyNumberFormat="1" applyFont="1" applyFill="1"/>
    <xf numFmtId="0" fontId="0" fillId="2" borderId="0" xfId="0" applyFill="1"/>
    <xf numFmtId="0" fontId="0" fillId="2" borderId="6" xfId="0" applyFill="1" applyBorder="1"/>
    <xf numFmtId="173" fontId="1" fillId="2" borderId="13" xfId="3" applyFill="1" applyBorder="1"/>
    <xf numFmtId="37" fontId="1" fillId="2" borderId="6" xfId="1" applyFill="1" applyBorder="1"/>
    <xf numFmtId="0" fontId="0" fillId="12" borderId="5" xfId="0" applyFill="1" applyBorder="1"/>
    <xf numFmtId="171" fontId="12" fillId="12" borderId="0" xfId="2" applyFill="1"/>
    <xf numFmtId="171" fontId="12" fillId="12" borderId="5" xfId="2" applyFill="1" applyBorder="1"/>
    <xf numFmtId="0" fontId="14" fillId="8" borderId="0" xfId="0" applyFont="1" applyFill="1" applyAlignment="1">
      <alignment horizontal="left" indent="1"/>
    </xf>
    <xf numFmtId="0" fontId="14" fillId="8" borderId="0" xfId="0" applyFont="1" applyFill="1"/>
    <xf numFmtId="0" fontId="18" fillId="4" borderId="17" xfId="0" applyFont="1" applyFill="1" applyBorder="1"/>
    <xf numFmtId="0" fontId="0" fillId="4" borderId="17" xfId="0" applyFill="1" applyBorder="1" applyAlignment="1">
      <alignment horizontal="left" indent="1"/>
    </xf>
    <xf numFmtId="173" fontId="0" fillId="4" borderId="17" xfId="3" applyFont="1" applyFill="1" applyBorder="1"/>
    <xf numFmtId="0" fontId="6" fillId="4" borderId="17" xfId="0" applyFont="1" applyFill="1" applyBorder="1"/>
    <xf numFmtId="0" fontId="24" fillId="4" borderId="17" xfId="0" applyFont="1" applyFill="1" applyBorder="1"/>
    <xf numFmtId="0" fontId="7" fillId="4" borderId="17" xfId="0" applyFont="1" applyFill="1" applyBorder="1"/>
    <xf numFmtId="173" fontId="1" fillId="4" borderId="29" xfId="3" applyFill="1" applyBorder="1"/>
    <xf numFmtId="175" fontId="0" fillId="4" borderId="17" xfId="0" applyNumberFormat="1" applyFill="1" applyBorder="1"/>
    <xf numFmtId="176" fontId="0" fillId="4" borderId="17" xfId="0" applyNumberFormat="1" applyFill="1" applyBorder="1"/>
    <xf numFmtId="173" fontId="0" fillId="4" borderId="17" xfId="0" applyNumberFormat="1" applyFill="1" applyBorder="1"/>
    <xf numFmtId="168" fontId="0" fillId="4" borderId="17" xfId="0" applyNumberFormat="1" applyFill="1" applyBorder="1"/>
    <xf numFmtId="0" fontId="0" fillId="4" borderId="17" xfId="0" applyFill="1" applyBorder="1"/>
    <xf numFmtId="0" fontId="0" fillId="4" borderId="30" xfId="0" applyFill="1" applyBorder="1"/>
    <xf numFmtId="0" fontId="0" fillId="4" borderId="17" xfId="0" applyFill="1" applyBorder="1"/>
    <xf numFmtId="173" fontId="1" fillId="4" borderId="31" xfId="3" applyFill="1" applyBorder="1"/>
    <xf numFmtId="39" fontId="1" fillId="4" borderId="29" xfId="1" applyNumberFormat="1" applyFill="1" applyBorder="1"/>
    <xf numFmtId="37" fontId="1" fillId="4" borderId="31" xfId="1" applyFill="1" applyBorder="1"/>
    <xf numFmtId="171" fontId="0" fillId="2" borderId="0" xfId="0" applyNumberFormat="1" applyFill="1"/>
    <xf numFmtId="165" fontId="0" fillId="3" borderId="0" xfId="0" applyNumberFormat="1" applyFill="1" applyAlignment="1">
      <alignment horizontal="center"/>
    </xf>
    <xf numFmtId="167" fontId="8" fillId="4" borderId="6" xfId="2" applyNumberFormat="1" applyFont="1" applyFill="1" applyBorder="1"/>
    <xf numFmtId="0" fontId="18" fillId="4" borderId="11" xfId="0" applyFont="1" applyFill="1" applyBorder="1" applyAlignment="1">
      <alignment horizontal="center" vertical="center"/>
    </xf>
    <xf numFmtId="0" fontId="8" fillId="4" borderId="11" xfId="0" applyFont="1" applyFill="1" applyBorder="1"/>
    <xf numFmtId="0" fontId="7" fillId="4" borderId="12" xfId="0" applyFont="1" applyFill="1" applyBorder="1"/>
    <xf numFmtId="37" fontId="24" fillId="4" borderId="13" xfId="1" applyFont="1" applyFill="1" applyBorder="1"/>
    <xf numFmtId="37" fontId="24" fillId="4" borderId="12" xfId="1" applyFont="1" applyFill="1" applyBorder="1"/>
    <xf numFmtId="37" fontId="24" fillId="4" borderId="11" xfId="1" applyFont="1" applyFill="1" applyBorder="1"/>
    <xf numFmtId="37" fontId="24" fillId="4" borderId="13" xfId="1" applyFont="1" applyFill="1" applyBorder="1"/>
    <xf numFmtId="173" fontId="24" fillId="4" borderId="11" xfId="3" applyFont="1" applyFill="1" applyBorder="1"/>
    <xf numFmtId="184" fontId="0" fillId="2" borderId="1" xfId="0" applyNumberFormat="1" applyFill="1" applyBorder="1"/>
    <xf numFmtId="184" fontId="0" fillId="2" borderId="3" xfId="0" applyNumberFormat="1" applyFill="1" applyBorder="1"/>
    <xf numFmtId="0" fontId="37" fillId="2" borderId="1" xfId="0" applyFont="1" applyFill="1" applyBorder="1" applyAlignment="1">
      <alignment horizontal="left" indent="1"/>
    </xf>
    <xf numFmtId="184" fontId="29" fillId="9" borderId="25" xfId="0" applyNumberFormat="1" applyFont="1" applyFill="1" applyBorder="1"/>
    <xf numFmtId="184" fontId="33" fillId="2" borderId="1" xfId="0" applyNumberFormat="1" applyFont="1" applyFill="1" applyBorder="1"/>
    <xf numFmtId="173" fontId="37" fillId="2" borderId="1" xfId="0" applyNumberFormat="1" applyFont="1" applyFill="1" applyBorder="1"/>
    <xf numFmtId="0" fontId="18" fillId="2" borderId="29" xfId="0" applyFont="1" applyFill="1" applyBorder="1" applyAlignment="1">
      <alignment horizontal="center" vertical="center"/>
    </xf>
    <xf numFmtId="0" fontId="8" fillId="2" borderId="17" xfId="0" applyFont="1" applyFill="1" applyBorder="1"/>
    <xf numFmtId="0" fontId="7" fillId="2" borderId="18" xfId="0" applyFont="1" applyFill="1" applyBorder="1"/>
    <xf numFmtId="0" fontId="24" fillId="2" borderId="30" xfId="0" applyFont="1" applyFill="1" applyBorder="1" applyAlignment="1">
      <alignment horizontal="right"/>
    </xf>
    <xf numFmtId="0" fontId="24" fillId="2" borderId="18" xfId="0" applyFont="1" applyFill="1" applyBorder="1" applyAlignment="1">
      <alignment horizontal="right"/>
    </xf>
    <xf numFmtId="0" fontId="24" fillId="2" borderId="17" xfId="0" applyFont="1" applyFill="1" applyBorder="1" applyAlignment="1">
      <alignment horizontal="right"/>
    </xf>
    <xf numFmtId="0" fontId="24" fillId="2" borderId="30" xfId="0" applyFont="1" applyFill="1" applyBorder="1" applyAlignment="1">
      <alignment horizontal="right"/>
    </xf>
    <xf numFmtId="173" fontId="24" fillId="2" borderId="17" xfId="3" applyFont="1" applyFill="1" applyBorder="1"/>
    <xf numFmtId="0" fontId="32" fillId="2" borderId="1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right" wrapText="1"/>
    </xf>
    <xf numFmtId="0" fontId="0" fillId="2" borderId="15" xfId="0" applyFill="1" applyBorder="1" applyAlignment="1">
      <alignment horizontal="center"/>
    </xf>
    <xf numFmtId="166" fontId="0" fillId="2" borderId="15" xfId="0" applyNumberFormat="1" applyFill="1" applyBorder="1"/>
    <xf numFmtId="40" fontId="12" fillId="2" borderId="15" xfId="5" applyFill="1" applyBorder="1"/>
    <xf numFmtId="173" fontId="0" fillId="2" borderId="15" xfId="3" applyFont="1" applyFill="1" applyBorder="1"/>
    <xf numFmtId="0" fontId="18" fillId="2" borderId="16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40" fontId="12" fillId="2" borderId="16" xfId="5" applyFill="1" applyBorder="1" applyAlignment="1">
      <alignment horizontal="center"/>
    </xf>
    <xf numFmtId="171" fontId="12" fillId="2" borderId="16" xfId="2" applyFill="1" applyBorder="1"/>
    <xf numFmtId="0" fontId="23" fillId="2" borderId="16" xfId="0" applyFont="1" applyFill="1" applyBorder="1" applyAlignment="1">
      <alignment horizontal="center"/>
    </xf>
    <xf numFmtId="168" fontId="0" fillId="2" borderId="16" xfId="0" applyNumberFormat="1" applyFill="1" applyBorder="1" applyAlignment="1">
      <alignment horizontal="center"/>
    </xf>
    <xf numFmtId="168" fontId="0" fillId="2" borderId="32" xfId="0" applyNumberFormat="1" applyFill="1" applyBorder="1" applyAlignment="1">
      <alignment horizontal="center"/>
    </xf>
    <xf numFmtId="2" fontId="0" fillId="2" borderId="15" xfId="0" applyNumberFormat="1" applyFill="1" applyBorder="1"/>
    <xf numFmtId="0" fontId="0" fillId="2" borderId="15" xfId="0" applyFill="1" applyBorder="1"/>
    <xf numFmtId="0" fontId="12" fillId="2" borderId="15" xfId="0" applyFont="1" applyFill="1" applyBorder="1"/>
    <xf numFmtId="37" fontId="0" fillId="0" borderId="15" xfId="1" applyFont="1" applyBorder="1"/>
    <xf numFmtId="2" fontId="0" fillId="2" borderId="15" xfId="0" applyNumberFormat="1" applyFill="1" applyBorder="1" applyAlignment="1">
      <alignment horizontal="right" vertical="center"/>
    </xf>
    <xf numFmtId="174" fontId="0" fillId="2" borderId="15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171" fontId="12" fillId="0" borderId="15" xfId="2" applyBorder="1"/>
    <xf numFmtId="0" fontId="8" fillId="4" borderId="1" xfId="0" applyFont="1" applyFill="1" applyBorder="1"/>
    <xf numFmtId="171" fontId="8" fillId="4" borderId="1" xfId="2" applyFont="1" applyFill="1" applyBorder="1"/>
    <xf numFmtId="177" fontId="8" fillId="4" borderId="1" xfId="5" applyNumberFormat="1" applyFont="1" applyFill="1" applyBorder="1"/>
    <xf numFmtId="171" fontId="8" fillId="4" borderId="3" xfId="2" applyFont="1" applyFill="1" applyBorder="1"/>
    <xf numFmtId="171" fontId="8" fillId="11" borderId="25" xfId="2" applyFont="1" applyFill="1" applyBorder="1"/>
    <xf numFmtId="173" fontId="12" fillId="4" borderId="1" xfId="0" applyNumberFormat="1" applyFont="1" applyFill="1" applyBorder="1"/>
    <xf numFmtId="0" fontId="2" fillId="2" borderId="0" xfId="0" applyFont="1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180" fontId="12" fillId="2" borderId="0" xfId="0" applyNumberFormat="1" applyFont="1" applyFill="1"/>
    <xf numFmtId="0" fontId="18" fillId="13" borderId="0" xfId="0" applyFont="1" applyFill="1" applyAlignment="1">
      <alignment horizontal="center"/>
    </xf>
    <xf numFmtId="0" fontId="8" fillId="13" borderId="0" xfId="0" applyFont="1" applyFill="1"/>
    <xf numFmtId="0" fontId="7" fillId="13" borderId="5" xfId="0" applyFont="1" applyFill="1" applyBorder="1"/>
    <xf numFmtId="171" fontId="12" fillId="13" borderId="11" xfId="2" applyFill="1" applyBorder="1"/>
    <xf numFmtId="171" fontId="12" fillId="13" borderId="12" xfId="2" applyFill="1" applyBorder="1"/>
    <xf numFmtId="0" fontId="24" fillId="4" borderId="17" xfId="0" applyFont="1" applyFill="1" applyBorder="1" applyAlignment="1">
      <alignment horizontal="center"/>
    </xf>
    <xf numFmtId="166" fontId="24" fillId="4" borderId="17" xfId="0" applyNumberFormat="1" applyFont="1" applyFill="1" applyBorder="1" applyAlignment="1">
      <alignment horizontal="center"/>
    </xf>
    <xf numFmtId="168" fontId="24" fillId="4" borderId="17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40" fontId="8" fillId="12" borderId="4" xfId="5" applyFont="1" applyFill="1" applyBorder="1" applyAlignment="1">
      <alignment horizontal="center"/>
    </xf>
    <xf numFmtId="171" fontId="8" fillId="12" borderId="1" xfId="2" applyFont="1" applyFill="1" applyBorder="1"/>
    <xf numFmtId="171" fontId="8" fillId="12" borderId="4" xfId="2" applyFont="1" applyFill="1" applyBorder="1"/>
    <xf numFmtId="170" fontId="4" fillId="2" borderId="0" xfId="0" applyNumberFormat="1" applyFont="1" applyFill="1" applyAlignment="1">
      <alignment horizontal="justify" vertical="distributed"/>
    </xf>
    <xf numFmtId="170" fontId="4" fillId="3" borderId="0" xfId="0" applyNumberFormat="1" applyFont="1" applyFill="1" applyAlignment="1">
      <alignment horizontal="justify" vertical="distributed"/>
    </xf>
    <xf numFmtId="0" fontId="7" fillId="4" borderId="7" xfId="0" applyFont="1" applyFill="1" applyBorder="1" applyAlignment="1">
      <alignment horizontal="center"/>
    </xf>
    <xf numFmtId="168" fontId="7" fillId="4" borderId="5" xfId="0" applyNumberFormat="1" applyFont="1" applyFill="1" applyBorder="1" applyAlignment="1">
      <alignment horizontal="center"/>
    </xf>
    <xf numFmtId="168" fontId="7" fillId="4" borderId="7" xfId="0" applyNumberFormat="1" applyFont="1" applyFill="1" applyBorder="1" applyAlignment="1">
      <alignment horizontal="center"/>
    </xf>
    <xf numFmtId="171" fontId="6" fillId="4" borderId="0" xfId="2" applyFont="1" applyFill="1"/>
    <xf numFmtId="171" fontId="6" fillId="4" borderId="5" xfId="2" applyFont="1" applyFill="1" applyBorder="1"/>
    <xf numFmtId="2" fontId="7" fillId="4" borderId="0" xfId="0" applyNumberFormat="1" applyFont="1" applyFill="1"/>
    <xf numFmtId="0" fontId="4" fillId="3" borderId="0" xfId="0" applyFont="1" applyFill="1"/>
    <xf numFmtId="37" fontId="0" fillId="4" borderId="21" xfId="1" applyFont="1" applyFill="1" applyBorder="1"/>
    <xf numFmtId="2" fontId="24" fillId="4" borderId="17" xfId="0" applyNumberFormat="1" applyFont="1" applyFill="1" applyBorder="1" applyAlignment="1">
      <alignment horizontal="right" vertical="center"/>
    </xf>
    <xf numFmtId="185" fontId="8" fillId="4" borderId="17" xfId="0" applyNumberFormat="1" applyFont="1" applyFill="1" applyBorder="1" applyAlignment="1">
      <alignment horizontal="center"/>
    </xf>
    <xf numFmtId="185" fontId="12" fillId="2" borderId="0" xfId="0" applyNumberFormat="1" applyFont="1" applyFill="1" applyAlignment="1">
      <alignment horizontal="center"/>
    </xf>
    <xf numFmtId="185" fontId="12" fillId="3" borderId="0" xfId="0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73" fontId="24" fillId="4" borderId="0" xfId="0" applyNumberFormat="1" applyFont="1" applyFill="1" applyAlignment="1">
      <alignment horizontal="center"/>
    </xf>
    <xf numFmtId="186" fontId="24" fillId="4" borderId="0" xfId="0" applyNumberFormat="1" applyFont="1" applyFill="1" applyAlignment="1">
      <alignment horizontal="center"/>
    </xf>
    <xf numFmtId="10" fontId="0" fillId="2" borderId="0" xfId="0" applyNumberFormat="1" applyFill="1"/>
    <xf numFmtId="0" fontId="10" fillId="2" borderId="0" xfId="0" applyFont="1" applyFill="1" applyAlignment="1">
      <alignment horizontal="center"/>
    </xf>
    <xf numFmtId="0" fontId="18" fillId="2" borderId="18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173" fontId="24" fillId="2" borderId="18" xfId="0" applyNumberFormat="1" applyFont="1" applyFill="1" applyBorder="1" applyAlignment="1">
      <alignment vertical="center"/>
    </xf>
    <xf numFmtId="173" fontId="24" fillId="2" borderId="17" xfId="0" applyNumberFormat="1" applyFont="1" applyFill="1" applyBorder="1" applyAlignment="1">
      <alignment vertical="center"/>
    </xf>
    <xf numFmtId="173" fontId="0" fillId="2" borderId="0" xfId="0" applyNumberFormat="1" applyFill="1" applyAlignment="1">
      <alignment vertical="center"/>
    </xf>
    <xf numFmtId="173" fontId="0" fillId="3" borderId="0" xfId="0" applyNumberFormat="1" applyFill="1" applyAlignment="1">
      <alignment vertical="center"/>
    </xf>
    <xf numFmtId="0" fontId="23" fillId="2" borderId="18" xfId="0" applyFont="1" applyFill="1" applyBorder="1" applyAlignment="1">
      <alignment horizontal="center"/>
    </xf>
    <xf numFmtId="173" fontId="7" fillId="2" borderId="18" xfId="0" applyNumberFormat="1" applyFont="1" applyFill="1" applyBorder="1" applyAlignment="1">
      <alignment vertical="center"/>
    </xf>
    <xf numFmtId="0" fontId="7" fillId="2" borderId="17" xfId="0" applyFont="1" applyFill="1" applyBorder="1"/>
    <xf numFmtId="173" fontId="7" fillId="2" borderId="18" xfId="0" applyNumberFormat="1" applyFont="1" applyFill="1" applyBorder="1"/>
    <xf numFmtId="0" fontId="7" fillId="2" borderId="30" xfId="0" applyFont="1" applyFill="1" applyBorder="1"/>
    <xf numFmtId="173" fontId="7" fillId="2" borderId="17" xfId="0" applyNumberFormat="1" applyFont="1" applyFill="1" applyBorder="1"/>
    <xf numFmtId="0" fontId="11" fillId="3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10" fontId="8" fillId="2" borderId="18" xfId="0" applyNumberFormat="1" applyFont="1" applyFill="1" applyBorder="1" applyAlignment="1">
      <alignment vertical="center"/>
    </xf>
    <xf numFmtId="10" fontId="8" fillId="2" borderId="17" xfId="0" applyNumberFormat="1" applyFont="1" applyFill="1" applyBorder="1" applyAlignment="1">
      <alignment vertical="center"/>
    </xf>
    <xf numFmtId="0" fontId="18" fillId="10" borderId="34" xfId="0" applyFont="1" applyFill="1" applyBorder="1" applyAlignment="1">
      <alignment horizontal="center"/>
    </xf>
    <xf numFmtId="0" fontId="24" fillId="10" borderId="35" xfId="0" applyFont="1" applyFill="1" applyBorder="1" applyAlignment="1">
      <alignment horizontal="center"/>
    </xf>
    <xf numFmtId="2" fontId="24" fillId="10" borderId="35" xfId="0" applyNumberFormat="1" applyFont="1" applyFill="1" applyBorder="1" applyAlignment="1">
      <alignment horizontal="right" vertical="center"/>
    </xf>
    <xf numFmtId="164" fontId="7" fillId="10" borderId="36" xfId="0" applyNumberFormat="1" applyFont="1" applyFill="1" applyBorder="1"/>
    <xf numFmtId="171" fontId="8" fillId="10" borderId="34" xfId="2" applyFont="1" applyFill="1" applyBorder="1"/>
    <xf numFmtId="164" fontId="24" fillId="10" borderId="36" xfId="0" applyNumberFormat="1" applyFont="1" applyFill="1" applyBorder="1"/>
    <xf numFmtId="171" fontId="8" fillId="10" borderId="36" xfId="2" applyFont="1" applyFill="1" applyBorder="1"/>
    <xf numFmtId="0" fontId="24" fillId="10" borderId="37" xfId="0" applyFont="1" applyFill="1" applyBorder="1"/>
    <xf numFmtId="0" fontId="8" fillId="10" borderId="36" xfId="0" applyFont="1" applyFill="1" applyBorder="1"/>
    <xf numFmtId="164" fontId="24" fillId="10" borderId="37" xfId="0" applyNumberFormat="1" applyFont="1" applyFill="1" applyBorder="1"/>
    <xf numFmtId="173" fontId="11" fillId="3" borderId="0" xfId="0" applyNumberFormat="1" applyFont="1" applyFill="1"/>
    <xf numFmtId="170" fontId="38" fillId="2" borderId="0" xfId="0" applyNumberFormat="1" applyFont="1" applyFill="1" applyAlignment="1">
      <alignment vertical="top"/>
    </xf>
    <xf numFmtId="170" fontId="0" fillId="2" borderId="0" xfId="0" applyNumberFormat="1" applyFill="1" applyAlignment="1">
      <alignment vertical="top" wrapText="1"/>
    </xf>
    <xf numFmtId="171" fontId="12" fillId="4" borderId="1" xfId="2" applyFill="1" applyBorder="1"/>
    <xf numFmtId="177" fontId="12" fillId="4" borderId="1" xfId="5" applyNumberFormat="1" applyFill="1" applyBorder="1"/>
    <xf numFmtId="171" fontId="12" fillId="4" borderId="3" xfId="2" applyFill="1" applyBorder="1"/>
    <xf numFmtId="171" fontId="29" fillId="11" borderId="25" xfId="2" applyFont="1" applyFill="1" applyBorder="1"/>
    <xf numFmtId="0" fontId="32" fillId="13" borderId="0" xfId="0" applyFont="1" applyFill="1" applyAlignment="1">
      <alignment horizontal="center"/>
    </xf>
    <xf numFmtId="0" fontId="31" fillId="13" borderId="5" xfId="0" applyFont="1" applyFill="1" applyBorder="1" applyAlignment="1">
      <alignment horizontal="left" wrapText="1"/>
    </xf>
    <xf numFmtId="171" fontId="12" fillId="13" borderId="0" xfId="2" applyFill="1"/>
    <xf numFmtId="171" fontId="12" fillId="13" borderId="5" xfId="2" applyFill="1" applyBorder="1"/>
    <xf numFmtId="0" fontId="39" fillId="2" borderId="0" xfId="0" applyFont="1" applyFill="1"/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vertical="center"/>
    </xf>
    <xf numFmtId="171" fontId="8" fillId="2" borderId="18" xfId="0" applyNumberFormat="1" applyFont="1" applyFill="1" applyBorder="1" applyAlignment="1">
      <alignment vertical="center"/>
    </xf>
    <xf numFmtId="10" fontId="11" fillId="2" borderId="0" xfId="0" applyNumberFormat="1" applyFont="1" applyFill="1"/>
    <xf numFmtId="10" fontId="24" fillId="2" borderId="0" xfId="0" applyNumberFormat="1" applyFont="1" applyFill="1"/>
    <xf numFmtId="171" fontId="24" fillId="2" borderId="0" xfId="0" applyNumberFormat="1" applyFont="1" applyFill="1"/>
    <xf numFmtId="177" fontId="8" fillId="2" borderId="0" xfId="5" applyNumberFormat="1" applyFont="1" applyFill="1"/>
    <xf numFmtId="171" fontId="24" fillId="2" borderId="6" xfId="0" applyNumberFormat="1" applyFont="1" applyFill="1" applyBorder="1"/>
    <xf numFmtId="171" fontId="8" fillId="9" borderId="0" xfId="0" applyNumberFormat="1" applyFont="1" applyFill="1"/>
    <xf numFmtId="171" fontId="4" fillId="2" borderId="0" xfId="0" applyNumberFormat="1" applyFont="1" applyFill="1" applyAlignment="1">
      <alignment horizontal="right"/>
    </xf>
    <xf numFmtId="171" fontId="24" fillId="4" borderId="0" xfId="0" applyNumberFormat="1" applyFont="1" applyFill="1"/>
    <xf numFmtId="171" fontId="24" fillId="4" borderId="6" xfId="0" applyNumberFormat="1" applyFont="1" applyFill="1" applyBorder="1"/>
    <xf numFmtId="171" fontId="8" fillId="11" borderId="0" xfId="0" applyNumberFormat="1" applyFont="1" applyFill="1"/>
    <xf numFmtId="0" fontId="5" fillId="2" borderId="0" xfId="0" applyFont="1" applyFill="1" applyAlignment="1">
      <alignment vertical="top" wrapText="1"/>
    </xf>
    <xf numFmtId="10" fontId="5" fillId="2" borderId="0" xfId="0" applyNumberFormat="1" applyFont="1" applyFill="1"/>
    <xf numFmtId="37" fontId="1" fillId="2" borderId="0" xfId="1" applyFill="1"/>
    <xf numFmtId="173" fontId="0" fillId="0" borderId="0" xfId="3" applyFont="1"/>
    <xf numFmtId="40" fontId="12" fillId="4" borderId="1" xfId="5" applyFill="1" applyBorder="1"/>
    <xf numFmtId="179" fontId="0" fillId="2" borderId="0" xfId="0" applyNumberFormat="1" applyFill="1"/>
    <xf numFmtId="0" fontId="18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horizontal="center"/>
    </xf>
    <xf numFmtId="0" fontId="35" fillId="13" borderId="4" xfId="0" applyFont="1" applyFill="1" applyBorder="1" applyAlignment="1">
      <alignment horizontal="right" wrapText="1"/>
    </xf>
    <xf numFmtId="171" fontId="8" fillId="13" borderId="0" xfId="2" applyFont="1" applyFill="1"/>
    <xf numFmtId="171" fontId="8" fillId="13" borderId="5" xfId="2" applyFont="1" applyFill="1" applyBorder="1"/>
    <xf numFmtId="0" fontId="5" fillId="3" borderId="0" xfId="0" applyFont="1" applyFill="1"/>
    <xf numFmtId="173" fontId="0" fillId="2" borderId="1" xfId="3" applyFont="1" applyFill="1" applyBorder="1"/>
    <xf numFmtId="173" fontId="0" fillId="2" borderId="3" xfId="3" applyFont="1" applyFill="1" applyBorder="1"/>
    <xf numFmtId="173" fontId="29" fillId="9" borderId="25" xfId="3" applyFont="1" applyFill="1" applyBorder="1"/>
    <xf numFmtId="173" fontId="0" fillId="2" borderId="11" xfId="3" applyFont="1" applyFill="1" applyBorder="1"/>
    <xf numFmtId="180" fontId="12" fillId="3" borderId="0" xfId="0" applyNumberFormat="1" applyFont="1" applyFill="1"/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8" borderId="11" xfId="0" applyFont="1" applyFill="1" applyBorder="1"/>
    <xf numFmtId="0" fontId="8" fillId="4" borderId="0" xfId="0" applyFont="1" applyFill="1" applyAlignment="1">
      <alignment horizontal="left" vertical="top" wrapText="1"/>
    </xf>
    <xf numFmtId="165" fontId="24" fillId="4" borderId="0" xfId="0" applyNumberFormat="1" applyFont="1" applyFill="1" applyAlignment="1">
      <alignment horizontal="center" vertical="center" wrapText="1"/>
    </xf>
    <xf numFmtId="165" fontId="24" fillId="4" borderId="0" xfId="0" applyNumberFormat="1" applyFont="1" applyFill="1" applyAlignment="1">
      <alignment vertical="center" wrapText="1"/>
    </xf>
    <xf numFmtId="0" fontId="24" fillId="4" borderId="6" xfId="0" applyFont="1" applyFill="1" applyBorder="1" applyAlignment="1">
      <alignment horizontal="center" vertical="center" wrapText="1"/>
    </xf>
    <xf numFmtId="165" fontId="40" fillId="11" borderId="0" xfId="0" applyNumberFormat="1" applyFont="1" applyFill="1" applyAlignment="1">
      <alignment vertical="center" wrapText="1"/>
    </xf>
    <xf numFmtId="173" fontId="1" fillId="4" borderId="38" xfId="3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0" fontId="8" fillId="2" borderId="17" xfId="0" applyFont="1" applyFill="1" applyBorder="1" applyAlignment="1">
      <alignment horizontal="left" vertical="top" wrapText="1"/>
    </xf>
    <xf numFmtId="166" fontId="24" fillId="2" borderId="17" xfId="0" applyNumberFormat="1" applyFont="1" applyFill="1" applyBorder="1" applyAlignment="1">
      <alignment horizontal="center" vertical="center" wrapText="1"/>
    </xf>
    <xf numFmtId="166" fontId="24" fillId="2" borderId="17" xfId="0" applyNumberFormat="1" applyFont="1" applyFill="1" applyBorder="1" applyAlignment="1">
      <alignment vertical="center" wrapText="1"/>
    </xf>
    <xf numFmtId="0" fontId="24" fillId="2" borderId="30" xfId="0" applyFont="1" applyFill="1" applyBorder="1" applyAlignment="1">
      <alignment horizontal="center" vertical="center" wrapText="1"/>
    </xf>
    <xf numFmtId="166" fontId="40" fillId="9" borderId="39" xfId="0" applyNumberFormat="1" applyFont="1" applyFill="1" applyBorder="1" applyAlignment="1">
      <alignment vertical="center" wrapText="1"/>
    </xf>
    <xf numFmtId="172" fontId="24" fillId="2" borderId="17" xfId="0" applyNumberFormat="1" applyFont="1" applyFill="1" applyBorder="1" applyAlignment="1">
      <alignment vertical="center" wrapText="1"/>
    </xf>
    <xf numFmtId="173" fontId="1" fillId="2" borderId="17" xfId="3" applyFill="1" applyBorder="1"/>
    <xf numFmtId="0" fontId="18" fillId="13" borderId="15" xfId="0" applyFont="1" applyFill="1" applyBorder="1" applyAlignment="1">
      <alignment horizontal="center"/>
    </xf>
    <xf numFmtId="0" fontId="32" fillId="13" borderId="15" xfId="0" applyFont="1" applyFill="1" applyBorder="1" applyAlignment="1">
      <alignment horizontal="center"/>
    </xf>
    <xf numFmtId="0" fontId="35" fillId="13" borderId="16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1" fillId="2" borderId="0" xfId="0" applyFont="1" applyFill="1"/>
    <xf numFmtId="165" fontId="11" fillId="2" borderId="0" xfId="0" applyNumberFormat="1" applyFont="1" applyFill="1" applyAlignment="1">
      <alignment horizontal="right"/>
    </xf>
    <xf numFmtId="0" fontId="42" fillId="2" borderId="17" xfId="0" applyFont="1" applyFill="1" applyBorder="1"/>
    <xf numFmtId="0" fontId="43" fillId="2" borderId="0" xfId="0" applyFont="1" applyFill="1"/>
    <xf numFmtId="0" fontId="2" fillId="2" borderId="0" xfId="0" applyFont="1" applyFill="1" applyAlignment="1">
      <alignment horizontal="center" vertical="top"/>
    </xf>
    <xf numFmtId="175" fontId="0" fillId="3" borderId="0" xfId="0" applyNumberFormat="1" applyFill="1"/>
    <xf numFmtId="166" fontId="43" fillId="2" borderId="0" xfId="0" applyNumberFormat="1" applyFont="1" applyFill="1"/>
    <xf numFmtId="164" fontId="43" fillId="2" borderId="0" xfId="0" applyNumberFormat="1" applyFont="1" applyFill="1"/>
    <xf numFmtId="173" fontId="43" fillId="2" borderId="0" xfId="0" applyNumberFormat="1" applyFont="1" applyFill="1"/>
    <xf numFmtId="171" fontId="12" fillId="2" borderId="0" xfId="0" applyNumberFormat="1" applyFont="1" applyFill="1"/>
    <xf numFmtId="10" fontId="12" fillId="2" borderId="0" xfId="3" applyNumberFormat="1" applyFont="1" applyFill="1"/>
    <xf numFmtId="10" fontId="12" fillId="2" borderId="0" xfId="0" applyNumberFormat="1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top"/>
    </xf>
    <xf numFmtId="0" fontId="6" fillId="14" borderId="0" xfId="0" applyFont="1" applyFill="1" applyAlignment="1">
      <alignment horizontal="right"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14" borderId="0" xfId="0" applyFont="1" applyFill="1"/>
    <xf numFmtId="0" fontId="7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0" borderId="0" xfId="0" applyFont="1"/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0" fontId="3" fillId="14" borderId="0" xfId="0" applyFont="1" applyFill="1" applyAlignment="1">
      <alignment horizontal="center" vertical="center" wrapText="1"/>
    </xf>
    <xf numFmtId="0" fontId="7" fillId="5" borderId="1" xfId="0" applyFont="1" applyFill="1" applyBorder="1"/>
    <xf numFmtId="166" fontId="14" fillId="5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14" borderId="0" xfId="0" applyFill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5" fillId="5" borderId="9" xfId="0" applyFont="1" applyFill="1" applyBorder="1"/>
    <xf numFmtId="0" fontId="0" fillId="14" borderId="0" xfId="0" applyFill="1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2" fontId="14" fillId="5" borderId="1" xfId="0" applyNumberFormat="1" applyFont="1" applyFill="1" applyBorder="1" applyAlignment="1">
      <alignment horizontal="center" vertical="center" wrapText="1"/>
    </xf>
    <xf numFmtId="2" fontId="14" fillId="15" borderId="1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/>
    <xf numFmtId="2" fontId="14" fillId="15" borderId="0" xfId="0" applyNumberFormat="1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14" borderId="0" xfId="0" quotePrefix="1" applyFont="1" applyFill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18" fillId="2" borderId="0" xfId="0" quotePrefix="1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8" fillId="2" borderId="11" xfId="0" quotePrefix="1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/>
    </xf>
    <xf numFmtId="0" fontId="0" fillId="10" borderId="0" xfId="0" applyFill="1" applyAlignment="1">
      <alignment horizontal="left" wrapText="1"/>
    </xf>
    <xf numFmtId="173" fontId="0" fillId="10" borderId="0" xfId="3" applyFont="1" applyFill="1" applyAlignment="1">
      <alignment horizontal="center"/>
    </xf>
    <xf numFmtId="40" fontId="12" fillId="10" borderId="0" xfId="5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vertical="top" wrapText="1"/>
    </xf>
    <xf numFmtId="164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wrapText="1"/>
    </xf>
    <xf numFmtId="164" fontId="0" fillId="14" borderId="0" xfId="0" applyNumberFormat="1" applyFill="1" applyAlignment="1">
      <alignment horizontal="right" wrapText="1"/>
    </xf>
    <xf numFmtId="0" fontId="31" fillId="2" borderId="0" xfId="0" applyFont="1" applyFill="1" applyAlignment="1">
      <alignment horizontal="center" vertical="top" wrapText="1"/>
    </xf>
    <xf numFmtId="166" fontId="0" fillId="2" borderId="0" xfId="0" applyNumberFormat="1" applyFill="1" applyAlignment="1">
      <alignment vertical="top"/>
    </xf>
    <xf numFmtId="172" fontId="0" fillId="2" borderId="0" xfId="0" applyNumberFormat="1" applyFill="1" applyAlignment="1">
      <alignment vertical="top"/>
    </xf>
    <xf numFmtId="183" fontId="0" fillId="2" borderId="0" xfId="0" applyNumberFormat="1" applyFill="1"/>
    <xf numFmtId="173" fontId="0" fillId="2" borderId="0" xfId="3" applyFont="1" applyFill="1" applyAlignment="1">
      <alignment horizontal="center"/>
    </xf>
    <xf numFmtId="171" fontId="12" fillId="2" borderId="0" xfId="2" applyFill="1" applyAlignment="1">
      <alignment horizontal="center"/>
    </xf>
    <xf numFmtId="40" fontId="12" fillId="2" borderId="0" xfId="5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wrapText="1"/>
    </xf>
    <xf numFmtId="183" fontId="12" fillId="2" borderId="0" xfId="2" applyNumberFormat="1" applyFill="1"/>
    <xf numFmtId="188" fontId="0" fillId="2" borderId="0" xfId="0" applyNumberFormat="1" applyFill="1" applyAlignment="1">
      <alignment wrapText="1"/>
    </xf>
    <xf numFmtId="189" fontId="0" fillId="2" borderId="0" xfId="0" applyNumberFormat="1" applyFill="1" applyAlignment="1">
      <alignment wrapText="1"/>
    </xf>
    <xf numFmtId="173" fontId="12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 wrapText="1"/>
    </xf>
    <xf numFmtId="177" fontId="12" fillId="2" borderId="0" xfId="5" applyNumberFormat="1" applyFill="1" applyAlignment="1">
      <alignment horizontal="center"/>
    </xf>
    <xf numFmtId="37" fontId="1" fillId="2" borderId="29" xfId="1" applyFill="1" applyBorder="1" applyAlignment="1">
      <alignment horizontal="center"/>
    </xf>
    <xf numFmtId="10" fontId="1" fillId="2" borderId="29" xfId="3" applyNumberFormat="1" applyFill="1" applyBorder="1" applyAlignment="1">
      <alignment horizontal="center"/>
    </xf>
    <xf numFmtId="187" fontId="0" fillId="2" borderId="29" xfId="0" applyNumberFormat="1" applyFill="1" applyBorder="1" applyAlignment="1">
      <alignment horizontal="center"/>
    </xf>
    <xf numFmtId="171" fontId="12" fillId="2" borderId="29" xfId="2" applyFill="1" applyBorder="1" applyAlignment="1">
      <alignment horizontal="center"/>
    </xf>
    <xf numFmtId="190" fontId="12" fillId="2" borderId="29" xfId="2" applyNumberFormat="1" applyFill="1" applyBorder="1" applyAlignment="1">
      <alignment horizontal="center"/>
    </xf>
    <xf numFmtId="170" fontId="0" fillId="2" borderId="0" xfId="2" applyNumberFormat="1" applyFont="1" applyFill="1"/>
    <xf numFmtId="191" fontId="0" fillId="2" borderId="0" xfId="2" applyNumberFormat="1" applyFont="1" applyFill="1"/>
    <xf numFmtId="192" fontId="1" fillId="2" borderId="0" xfId="1" applyNumberFormat="1" applyFill="1" applyAlignment="1">
      <alignment horizontal="right"/>
    </xf>
    <xf numFmtId="0" fontId="12" fillId="2" borderId="0" xfId="0" applyFont="1" applyFill="1" applyAlignment="1">
      <alignment horizontal="left" wrapText="1"/>
    </xf>
    <xf numFmtId="3" fontId="12" fillId="2" borderId="0" xfId="0" applyNumberFormat="1" applyFont="1" applyFill="1" applyAlignment="1">
      <alignment vertical="top"/>
    </xf>
    <xf numFmtId="171" fontId="0" fillId="2" borderId="15" xfId="0" applyNumberFormat="1" applyFill="1" applyBorder="1"/>
    <xf numFmtId="0" fontId="0" fillId="2" borderId="15" xfId="0" applyFill="1" applyBorder="1" applyAlignment="1">
      <alignment horizontal="left" wrapText="1"/>
    </xf>
    <xf numFmtId="189" fontId="0" fillId="2" borderId="15" xfId="0" applyNumberFormat="1" applyFill="1" applyBorder="1" applyAlignment="1">
      <alignment wrapText="1"/>
    </xf>
    <xf numFmtId="173" fontId="12" fillId="2" borderId="15" xfId="0" applyNumberFormat="1" applyFont="1" applyFill="1" applyBorder="1" applyAlignment="1">
      <alignment horizontal="right"/>
    </xf>
    <xf numFmtId="183" fontId="12" fillId="2" borderId="15" xfId="2" applyNumberFormat="1" applyFill="1" applyBorder="1"/>
    <xf numFmtId="0" fontId="35" fillId="2" borderId="0" xfId="0" applyFont="1" applyFill="1" applyAlignment="1">
      <alignment vertical="top" wrapText="1"/>
    </xf>
    <xf numFmtId="193" fontId="0" fillId="2" borderId="0" xfId="0" applyNumberFormat="1" applyFill="1" applyAlignment="1">
      <alignment vertical="top"/>
    </xf>
    <xf numFmtId="164" fontId="4" fillId="2" borderId="0" xfId="0" applyNumberFormat="1" applyFont="1" applyFill="1" applyAlignment="1">
      <alignment horizontal="right" wrapText="1"/>
    </xf>
    <xf numFmtId="164" fontId="4" fillId="14" borderId="0" xfId="0" applyNumberFormat="1" applyFont="1" applyFill="1" applyAlignment="1">
      <alignment horizontal="right" wrapText="1"/>
    </xf>
    <xf numFmtId="173" fontId="0" fillId="2" borderId="17" xfId="3" applyFont="1" applyFill="1" applyBorder="1"/>
    <xf numFmtId="0" fontId="0" fillId="2" borderId="15" xfId="0" applyFill="1" applyBorder="1" applyAlignment="1">
      <alignment horizontal="left"/>
    </xf>
    <xf numFmtId="173" fontId="0" fillId="2" borderId="16" xfId="3" applyFont="1" applyFill="1" applyBorder="1"/>
    <xf numFmtId="173" fontId="0" fillId="2" borderId="15" xfId="3" applyFont="1" applyFill="1" applyBorder="1" applyAlignment="1">
      <alignment horizontal="center"/>
    </xf>
    <xf numFmtId="0" fontId="24" fillId="2" borderId="17" xfId="0" applyFont="1" applyFill="1" applyBorder="1" applyAlignment="1">
      <alignment horizontal="left" wrapText="1"/>
    </xf>
    <xf numFmtId="170" fontId="4" fillId="2" borderId="0" xfId="0" applyNumberFormat="1" applyFont="1" applyFill="1"/>
    <xf numFmtId="0" fontId="24" fillId="2" borderId="17" xfId="0" applyFont="1" applyFill="1" applyBorder="1"/>
    <xf numFmtId="189" fontId="8" fillId="2" borderId="17" xfId="0" applyNumberFormat="1" applyFont="1" applyFill="1" applyBorder="1" applyAlignment="1">
      <alignment horizontal="right" vertical="center" wrapText="1"/>
    </xf>
    <xf numFmtId="173" fontId="7" fillId="2" borderId="40" xfId="3" applyFont="1" applyFill="1" applyBorder="1"/>
    <xf numFmtId="183" fontId="8" fillId="2" borderId="17" xfId="2" applyNumberFormat="1" applyFont="1" applyFill="1" applyBorder="1"/>
    <xf numFmtId="0" fontId="18" fillId="2" borderId="17" xfId="0" applyFont="1" applyFill="1" applyBorder="1" applyAlignment="1">
      <alignment horizontal="center" vertical="top"/>
    </xf>
    <xf numFmtId="0" fontId="35" fillId="2" borderId="17" xfId="0" applyFont="1" applyFill="1" applyBorder="1" applyAlignment="1">
      <alignment vertical="top" wrapText="1"/>
    </xf>
    <xf numFmtId="4" fontId="0" fillId="2" borderId="17" xfId="0" applyNumberFormat="1" applyFill="1" applyBorder="1" applyAlignment="1">
      <alignment vertical="top"/>
    </xf>
    <xf numFmtId="0" fontId="8" fillId="2" borderId="18" xfId="0" applyFont="1" applyFill="1" applyBorder="1" applyAlignment="1">
      <alignment vertical="center"/>
    </xf>
    <xf numFmtId="173" fontId="24" fillId="2" borderId="17" xfId="3" applyFont="1" applyFill="1" applyBorder="1" applyAlignment="1">
      <alignment horizontal="center"/>
    </xf>
    <xf numFmtId="171" fontId="12" fillId="2" borderId="15" xfId="2" applyFill="1" applyBorder="1" applyAlignment="1">
      <alignment horizontal="center"/>
    </xf>
    <xf numFmtId="40" fontId="12" fillId="2" borderId="15" xfId="5" applyFill="1" applyBorder="1" applyAlignment="1">
      <alignment horizontal="center"/>
    </xf>
    <xf numFmtId="171" fontId="8" fillId="2" borderId="17" xfId="2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left" wrapText="1"/>
    </xf>
    <xf numFmtId="171" fontId="12" fillId="2" borderId="36" xfId="2" applyFill="1" applyBorder="1"/>
    <xf numFmtId="173" fontId="0" fillId="2" borderId="36" xfId="3" applyFont="1" applyFill="1" applyBorder="1" applyAlignment="1">
      <alignment horizontal="center"/>
    </xf>
    <xf numFmtId="177" fontId="12" fillId="2" borderId="36" xfId="5" applyNumberFormat="1" applyFill="1" applyBorder="1" applyAlignment="1">
      <alignment horizontal="center"/>
    </xf>
    <xf numFmtId="0" fontId="11" fillId="14" borderId="0" xfId="0" applyFont="1" applyFill="1"/>
    <xf numFmtId="0" fontId="31" fillId="2" borderId="15" xfId="0" applyFont="1" applyFill="1" applyBorder="1" applyAlignment="1">
      <alignment horizontal="center" vertical="center"/>
    </xf>
    <xf numFmtId="166" fontId="12" fillId="2" borderId="15" xfId="0" applyNumberFormat="1" applyFont="1" applyFill="1" applyBorder="1"/>
    <xf numFmtId="0" fontId="18" fillId="2" borderId="15" xfId="0" applyFont="1" applyFill="1" applyBorder="1" applyAlignment="1">
      <alignment horizontal="center" vertical="top"/>
    </xf>
    <xf numFmtId="0" fontId="31" fillId="2" borderId="15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166" fontId="0" fillId="2" borderId="17" xfId="0" applyNumberFormat="1" applyFill="1" applyBorder="1"/>
    <xf numFmtId="2" fontId="0" fillId="2" borderId="17" xfId="0" applyNumberFormat="1" applyFill="1" applyBorder="1"/>
    <xf numFmtId="0" fontId="31" fillId="2" borderId="15" xfId="0" applyFont="1" applyFill="1" applyBorder="1" applyAlignment="1">
      <alignment horizontal="center" vertical="top" wrapText="1"/>
    </xf>
    <xf numFmtId="166" fontId="0" fillId="2" borderId="15" xfId="0" applyNumberFormat="1" applyFill="1" applyBorder="1" applyAlignment="1">
      <alignment vertical="top"/>
    </xf>
    <xf numFmtId="172" fontId="0" fillId="2" borderId="15" xfId="0" applyNumberFormat="1" applyFill="1" applyBorder="1" applyAlignment="1">
      <alignment vertical="top"/>
    </xf>
    <xf numFmtId="183" fontId="0" fillId="2" borderId="15" xfId="0" applyNumberFormat="1" applyFill="1" applyBorder="1"/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top"/>
    </xf>
    <xf numFmtId="177" fontId="12" fillId="2" borderId="15" xfId="5" applyNumberFormat="1" applyFill="1" applyBorder="1"/>
    <xf numFmtId="0" fontId="31" fillId="2" borderId="15" xfId="0" applyFont="1" applyFill="1" applyBorder="1" applyAlignment="1">
      <alignment horizontal="center" wrapText="1"/>
    </xf>
    <xf numFmtId="177" fontId="12" fillId="2" borderId="15" xfId="5" applyNumberFormat="1" applyFill="1" applyBorder="1" applyAlignment="1">
      <alignment horizontal="center"/>
    </xf>
    <xf numFmtId="170" fontId="0" fillId="2" borderId="15" xfId="2" applyNumberFormat="1" applyFont="1" applyFill="1" applyBorder="1"/>
    <xf numFmtId="191" fontId="0" fillId="2" borderId="15" xfId="2" applyNumberFormat="1" applyFont="1" applyFill="1" applyBorder="1"/>
    <xf numFmtId="192" fontId="1" fillId="2" borderId="15" xfId="1" applyNumberFormat="1" applyFill="1" applyBorder="1" applyAlignment="1">
      <alignment horizontal="right"/>
    </xf>
    <xf numFmtId="177" fontId="8" fillId="2" borderId="15" xfId="5" applyNumberFormat="1" applyFont="1" applyFill="1" applyBorder="1"/>
    <xf numFmtId="0" fontId="0" fillId="14" borderId="0" xfId="0" applyFill="1" applyAlignment="1">
      <alignment vertical="top"/>
    </xf>
    <xf numFmtId="166" fontId="8" fillId="2" borderId="17" xfId="0" applyNumberFormat="1" applyFont="1" applyFill="1" applyBorder="1" applyAlignment="1">
      <alignment vertical="center"/>
    </xf>
    <xf numFmtId="0" fontId="4" fillId="2" borderId="17" xfId="0" applyFont="1" applyFill="1" applyBorder="1"/>
    <xf numFmtId="0" fontId="10" fillId="2" borderId="17" xfId="0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center" vertical="top"/>
    </xf>
    <xf numFmtId="0" fontId="35" fillId="2" borderId="17" xfId="0" applyFont="1" applyFill="1" applyBorder="1" applyAlignment="1">
      <alignment horizontal="left" vertical="top" wrapText="1"/>
    </xf>
    <xf numFmtId="168" fontId="8" fillId="2" borderId="17" xfId="0" applyNumberFormat="1" applyFont="1" applyFill="1" applyBorder="1" applyAlignment="1">
      <alignment vertical="center"/>
    </xf>
    <xf numFmtId="183" fontId="8" fillId="2" borderId="17" xfId="0" applyNumberFormat="1" applyFont="1" applyFill="1" applyBorder="1"/>
    <xf numFmtId="173" fontId="4" fillId="2" borderId="21" xfId="3" applyFont="1" applyFill="1" applyBorder="1"/>
    <xf numFmtId="40" fontId="11" fillId="2" borderId="21" xfId="5" applyFont="1" applyFill="1" applyBorder="1"/>
    <xf numFmtId="0" fontId="46" fillId="2" borderId="17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left" wrapText="1"/>
    </xf>
    <xf numFmtId="173" fontId="35" fillId="2" borderId="17" xfId="0" applyNumberFormat="1" applyFont="1" applyFill="1" applyBorder="1" applyAlignment="1">
      <alignment horizontal="right" wrapText="1"/>
    </xf>
    <xf numFmtId="171" fontId="24" fillId="2" borderId="40" xfId="0" applyNumberFormat="1" applyFont="1" applyFill="1" applyBorder="1"/>
    <xf numFmtId="40" fontId="8" fillId="2" borderId="17" xfId="5" applyFont="1" applyFill="1" applyBorder="1"/>
    <xf numFmtId="0" fontId="4" fillId="2" borderId="0" xfId="0" applyFont="1" applyFill="1" applyAlignment="1">
      <alignment vertical="top"/>
    </xf>
    <xf numFmtId="0" fontId="11" fillId="2" borderId="17" xfId="0" applyFont="1" applyFill="1" applyBorder="1"/>
    <xf numFmtId="0" fontId="20" fillId="2" borderId="17" xfId="0" applyFont="1" applyFill="1" applyBorder="1" applyAlignment="1">
      <alignment horizontal="center" vertical="center"/>
    </xf>
    <xf numFmtId="177" fontId="8" fillId="2" borderId="17" xfId="5" applyNumberFormat="1" applyFont="1" applyFill="1" applyBorder="1"/>
    <xf numFmtId="0" fontId="35" fillId="2" borderId="17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166" fontId="8" fillId="2" borderId="17" xfId="0" applyNumberFormat="1" applyFont="1" applyFill="1" applyBorder="1" applyAlignment="1">
      <alignment horizontal="right" vertical="center" wrapText="1"/>
    </xf>
    <xf numFmtId="188" fontId="11" fillId="2" borderId="0" xfId="0" applyNumberFormat="1" applyFont="1" applyFill="1" applyAlignment="1">
      <alignment horizontal="right" vertical="center" wrapText="1"/>
    </xf>
    <xf numFmtId="0" fontId="35" fillId="2" borderId="17" xfId="0" applyFont="1" applyFill="1" applyBorder="1" applyAlignment="1">
      <alignment horizontal="center" wrapText="1"/>
    </xf>
    <xf numFmtId="166" fontId="8" fillId="2" borderId="17" xfId="0" applyNumberFormat="1" applyFont="1" applyFill="1" applyBorder="1"/>
    <xf numFmtId="177" fontId="8" fillId="2" borderId="29" xfId="5" applyNumberFormat="1" applyFont="1" applyFill="1" applyBorder="1" applyAlignment="1">
      <alignment horizontal="center"/>
    </xf>
    <xf numFmtId="177" fontId="8" fillId="2" borderId="17" xfId="5" applyNumberFormat="1" applyFont="1" applyFill="1" applyBorder="1" applyAlignment="1">
      <alignment horizontal="center"/>
    </xf>
    <xf numFmtId="40" fontId="8" fillId="2" borderId="17" xfId="5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 vertical="top"/>
    </xf>
    <xf numFmtId="170" fontId="8" fillId="2" borderId="17" xfId="2" applyNumberFormat="1" applyFont="1" applyFill="1" applyBorder="1"/>
    <xf numFmtId="192" fontId="8" fillId="2" borderId="17" xfId="5" applyNumberFormat="1" applyFont="1" applyFill="1" applyBorder="1" applyAlignment="1">
      <alignment horizontal="right"/>
    </xf>
    <xf numFmtId="177" fontId="11" fillId="2" borderId="17" xfId="5" applyNumberFormat="1" applyFont="1" applyFill="1" applyBorder="1"/>
    <xf numFmtId="0" fontId="10" fillId="2" borderId="0" xfId="0" applyFont="1" applyFill="1" applyAlignment="1">
      <alignment horizontal="center" vertical="top"/>
    </xf>
    <xf numFmtId="168" fontId="0" fillId="2" borderId="0" xfId="0" applyNumberFormat="1" applyFill="1" applyAlignment="1">
      <alignment vertical="top"/>
    </xf>
    <xf numFmtId="165" fontId="0" fillId="2" borderId="0" xfId="0" applyNumberFormat="1" applyFill="1" applyAlignment="1">
      <alignment vertical="top"/>
    </xf>
    <xf numFmtId="194" fontId="0" fillId="2" borderId="0" xfId="0" applyNumberFormat="1" applyFill="1"/>
    <xf numFmtId="0" fontId="0" fillId="16" borderId="0" xfId="0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0" fillId="16" borderId="0" xfId="0" applyFill="1" applyAlignment="1">
      <alignment horizontal="center" vertical="top"/>
    </xf>
    <xf numFmtId="0" fontId="0" fillId="16" borderId="0" xfId="0" applyFill="1"/>
    <xf numFmtId="0" fontId="0" fillId="16" borderId="0" xfId="0" applyFill="1" applyAlignment="1">
      <alignment wrapText="1"/>
    </xf>
    <xf numFmtId="0" fontId="31" fillId="16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  <xf numFmtId="0" fontId="0" fillId="2" borderId="0" xfId="0" applyFill="1" applyAlignment="1">
      <alignment horizontal="right"/>
    </xf>
    <xf numFmtId="165" fontId="0" fillId="16" borderId="0" xfId="0" applyNumberFormat="1" applyFill="1" applyAlignment="1">
      <alignment horizontal="center" vertical="top"/>
    </xf>
    <xf numFmtId="194" fontId="0" fillId="14" borderId="0" xfId="0" applyNumberFormat="1" applyFill="1"/>
    <xf numFmtId="0" fontId="0" fillId="2" borderId="16" xfId="0" applyFill="1" applyBorder="1" applyAlignment="1">
      <alignment horizontal="center"/>
    </xf>
    <xf numFmtId="0" fontId="18" fillId="4" borderId="40" xfId="0" applyFont="1" applyFill="1" applyBorder="1" applyAlignment="1">
      <alignment horizontal="center"/>
    </xf>
    <xf numFmtId="0" fontId="24" fillId="4" borderId="41" xfId="0" applyFont="1" applyFill="1" applyBorder="1" applyAlignment="1">
      <alignment horizontal="center"/>
    </xf>
    <xf numFmtId="171" fontId="8" fillId="4" borderId="40" xfId="2" applyFont="1" applyFill="1" applyBorder="1"/>
    <xf numFmtId="171" fontId="8" fillId="4" borderId="41" xfId="2" applyFont="1" applyFill="1" applyBorder="1"/>
    <xf numFmtId="0" fontId="18" fillId="2" borderId="29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left" indent="1"/>
    </xf>
    <xf numFmtId="171" fontId="8" fillId="2" borderId="29" xfId="2" applyFont="1" applyFill="1" applyBorder="1"/>
    <xf numFmtId="0" fontId="0" fillId="16" borderId="0" xfId="0" applyFill="1" applyAlignment="1">
      <alignment horizontal="center" vertical="center"/>
    </xf>
    <xf numFmtId="0" fontId="12" fillId="2" borderId="0" xfId="0" applyFont="1" applyFill="1" applyAlignment="1">
      <alignment horizontal="left" wrapText="1"/>
    </xf>
  </cellXfs>
  <cellStyles count="6">
    <cellStyle name="Comma" xfId="1" builtinId="3"/>
    <cellStyle name="Comma with Decimals" xfId="5" xr:uid="{36451F83-A3C5-484C-A8AD-6C534C688872}"/>
    <cellStyle name="Currency" xfId="2" builtinId="4"/>
    <cellStyle name="Heading Colour 1" xfId="4" xr:uid="{7C17C2EB-4279-48D6-894D-DDD84DD009C1}"/>
    <cellStyle name="Normal" xfId="0" builtinId="0"/>
    <cellStyle name="Percent" xfId="3" builtinId="5"/>
  </cellStyles>
  <dxfs count="3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rgbClr val="FFFFFF"/>
      </a:lt1>
      <a:dk2>
        <a:srgbClr val="107F8A"/>
      </a:dk2>
      <a:lt2>
        <a:srgbClr val="E8E8E8"/>
      </a:lt2>
      <a:accent1>
        <a:srgbClr val="000000"/>
      </a:accent1>
      <a:accent2>
        <a:srgbClr val="EF5A27"/>
      </a:accent2>
      <a:accent3>
        <a:srgbClr val="0C3343"/>
      </a:accent3>
      <a:accent4>
        <a:srgbClr val="0F3C4F"/>
      </a:accent4>
      <a:accent5>
        <a:srgbClr val="F2F2F2"/>
      </a:accent5>
      <a:accent6>
        <a:srgbClr val="035642"/>
      </a:accent6>
      <a:hlink>
        <a:srgbClr val="0070C0"/>
      </a:hlink>
      <a:folHlink>
        <a:srgbClr val="800080"/>
      </a:folHlink>
    </a:clrScheme>
    <a:fontScheme name="Custom 1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2075-9B7D-4489-AE59-F5E6B5E6FD3F}">
  <sheetPr>
    <tabColor theme="6"/>
    <pageSetUpPr fitToPage="1"/>
  </sheetPr>
  <dimension ref="A1:OV54"/>
  <sheetViews>
    <sheetView tabSelected="1" zoomScale="80" zoomScaleNormal="80" workbookViewId="0">
      <selection sqref="A1:R1"/>
    </sheetView>
  </sheetViews>
  <sheetFormatPr defaultColWidth="9" defaultRowHeight="16.5" x14ac:dyDescent="0.3"/>
  <cols>
    <col min="1" max="1" width="1.125" style="17" customWidth="1"/>
    <col min="2" max="2" width="3.625" style="17" customWidth="1"/>
    <col min="3" max="4" width="2.125" style="17" customWidth="1"/>
    <col min="5" max="5" width="31.625" style="17" customWidth="1"/>
    <col min="6" max="6" width="16.625" style="17" customWidth="1"/>
    <col min="7" max="7" width="10.625" style="17" customWidth="1"/>
    <col min="8" max="8" width="15.625" style="17" customWidth="1"/>
    <col min="9" max="9" width="10.5" style="17" customWidth="1"/>
    <col min="10" max="11" width="15.125" style="17" customWidth="1"/>
    <col min="12" max="12" width="10.125" style="17" customWidth="1"/>
    <col min="13" max="13" width="14.625" style="17" customWidth="1"/>
    <col min="14" max="14" width="15.625" style="17" customWidth="1"/>
    <col min="15" max="15" width="10.5" style="17" customWidth="1"/>
    <col min="16" max="16" width="16.125" style="17" customWidth="1"/>
    <col min="17" max="18" width="15.125" style="17" customWidth="1"/>
    <col min="19" max="19" width="6.125" style="17" customWidth="1"/>
    <col min="20" max="20" width="6.125" style="18" customWidth="1"/>
    <col min="21" max="21" width="6.125" style="17" customWidth="1"/>
    <col min="22" max="22" width="4" style="17" customWidth="1"/>
    <col min="23" max="23" width="54.125" style="17" customWidth="1"/>
    <col min="24" max="27" width="13" style="17" customWidth="1"/>
    <col min="28" max="28" width="2.625" style="17" customWidth="1"/>
    <col min="29" max="29" width="5.125" style="17" customWidth="1"/>
    <col min="30" max="30" width="5.5" style="18" customWidth="1"/>
    <col min="31" max="31" width="5.5" style="17" customWidth="1"/>
    <col min="32" max="32" width="4" style="17" customWidth="1"/>
    <col min="33" max="33" width="23.625" style="17" customWidth="1"/>
    <col min="34" max="36" width="17.625" style="17" customWidth="1"/>
    <col min="37" max="37" width="6.125" style="17" customWidth="1"/>
    <col min="38" max="38" width="3.5" style="18" customWidth="1"/>
    <col min="39" max="39" width="2.125" style="17" customWidth="1"/>
    <col min="40" max="40" width="3.625" style="17" customWidth="1"/>
    <col min="41" max="42" width="2.125" style="17" customWidth="1"/>
    <col min="43" max="43" width="21.75" style="17" customWidth="1"/>
    <col min="44" max="44" width="2.25" style="17" customWidth="1"/>
    <col min="45" max="45" width="14.5" style="17" hidden="1" customWidth="1"/>
    <col min="46" max="46" width="15" style="17" hidden="1" customWidth="1"/>
    <col min="47" max="47" width="2.125" style="17" hidden="1" customWidth="1"/>
    <col min="48" max="48" width="13.5" style="17" hidden="1" customWidth="1"/>
    <col min="49" max="49" width="14.625" style="17" hidden="1" customWidth="1"/>
    <col min="50" max="50" width="10.625" style="17" hidden="1" customWidth="1"/>
    <col min="51" max="51" width="1.625" style="17" hidden="1" customWidth="1"/>
    <col min="52" max="52" width="13.5" style="17" hidden="1" customWidth="1"/>
    <col min="53" max="53" width="14.625" style="17" hidden="1" customWidth="1"/>
    <col min="54" max="54" width="10.625" style="17" hidden="1" customWidth="1"/>
    <col min="55" max="55" width="2.125" style="17" hidden="1" customWidth="1"/>
    <col min="56" max="56" width="13.5" style="17" hidden="1" customWidth="1"/>
    <col min="57" max="57" width="14.625" style="17" hidden="1" customWidth="1"/>
    <col min="58" max="58" width="10.625" style="17" hidden="1" customWidth="1"/>
    <col min="59" max="59" width="2.125" style="17" hidden="1" customWidth="1"/>
    <col min="60" max="60" width="13.5" style="17" hidden="1" customWidth="1"/>
    <col min="61" max="61" width="14.625" style="17" hidden="1" customWidth="1"/>
    <col min="62" max="62" width="10.625" style="17" hidden="1" customWidth="1"/>
    <col min="63" max="63" width="1.625" style="17" hidden="1" customWidth="1"/>
    <col min="64" max="64" width="13.5" style="17" hidden="1" customWidth="1"/>
    <col min="65" max="65" width="14.625" style="17" hidden="1" customWidth="1"/>
    <col min="66" max="66" width="10.625" style="17" hidden="1" customWidth="1"/>
    <col min="67" max="67" width="1.625" style="17" hidden="1" customWidth="1"/>
    <col min="68" max="68" width="13.5" style="17" hidden="1" customWidth="1"/>
    <col min="69" max="69" width="14.625" style="17" hidden="1" customWidth="1"/>
    <col min="70" max="70" width="10.625" style="17" hidden="1" customWidth="1"/>
    <col min="71" max="71" width="1.625" style="17" hidden="1" customWidth="1"/>
    <col min="72" max="72" width="16.125" style="17" hidden="1" customWidth="1"/>
    <col min="73" max="81" width="14.5" style="17" hidden="1" customWidth="1"/>
    <col min="82" max="82" width="13.5" style="17" hidden="1" customWidth="1"/>
    <col min="83" max="83" width="14.5" style="17" hidden="1" customWidth="1"/>
    <col min="84" max="84" width="16.125" style="17" customWidth="1"/>
    <col min="85" max="85" width="13.25" style="17" customWidth="1"/>
    <col min="86" max="86" width="9.75" style="17" customWidth="1"/>
    <col min="87" max="87" width="14.875" style="17" bestFit="1" customWidth="1"/>
    <col min="88" max="89" width="9.75" style="17" customWidth="1"/>
    <col min="90" max="90" width="12.5" style="17" customWidth="1"/>
    <col min="91" max="91" width="11.5" style="17" bestFit="1" customWidth="1"/>
    <col min="92" max="92" width="9" style="17" customWidth="1"/>
    <col min="93" max="93" width="2.625" style="18" customWidth="1"/>
    <col min="94" max="94" width="2.625" style="17" customWidth="1"/>
    <col min="95" max="95" width="4.125" style="17" customWidth="1"/>
    <col min="96" max="96" width="15" style="17" customWidth="1"/>
    <col min="97" max="97" width="13.625" style="17" customWidth="1"/>
    <col min="98" max="98" width="15" style="17" bestFit="1" customWidth="1"/>
    <col min="99" max="99" width="13.625" style="17" customWidth="1"/>
    <col min="100" max="100" width="15.375" style="17" bestFit="1" customWidth="1"/>
    <col min="101" max="101" width="13.625" style="17" customWidth="1"/>
    <col min="102" max="102" width="15.375" style="17" customWidth="1"/>
    <col min="103" max="103" width="13.625" style="17" customWidth="1"/>
    <col min="104" max="104" width="15.375" style="17" bestFit="1" customWidth="1"/>
    <col min="105" max="105" width="2.625" style="17" customWidth="1"/>
    <col min="106" max="106" width="2.625" style="18" customWidth="1"/>
    <col min="107" max="107" width="2.625" style="17" customWidth="1"/>
    <col min="108" max="108" width="4.625" style="17" customWidth="1"/>
    <col min="109" max="109" width="15" style="17" customWidth="1"/>
    <col min="110" max="110" width="14.5" style="17" customWidth="1"/>
    <col min="111" max="111" width="14.5" style="21" customWidth="1"/>
    <col min="112" max="113" width="14.5" style="17" customWidth="1"/>
    <col min="114" max="114" width="17.625" style="17" customWidth="1"/>
    <col min="115" max="115" width="2.625" style="17" customWidth="1"/>
    <col min="116" max="116" width="2.625" style="18" customWidth="1"/>
    <col min="117" max="117" width="2.625" style="17" customWidth="1"/>
    <col min="118" max="118" width="4.625" style="17" customWidth="1"/>
    <col min="119" max="119" width="13.625" style="17" customWidth="1"/>
    <col min="120" max="120" width="15.625" style="17" customWidth="1"/>
    <col min="121" max="121" width="15.625" style="21" customWidth="1"/>
    <col min="122" max="123" width="15.625" style="17" customWidth="1"/>
    <col min="124" max="124" width="2.625" style="17" customWidth="1"/>
    <col min="125" max="125" width="2.625" style="18" customWidth="1"/>
    <col min="126" max="126" width="2.125" style="17" customWidth="1"/>
    <col min="127" max="127" width="4.625" style="17" customWidth="1"/>
    <col min="128" max="128" width="30.5" style="22" customWidth="1"/>
    <col min="129" max="129" width="13.625" style="23" customWidth="1"/>
    <col min="130" max="130" width="14.5" style="23" customWidth="1"/>
    <col min="131" max="131" width="14.625" style="23" bestFit="1" customWidth="1"/>
    <col min="132" max="132" width="15" style="23" bestFit="1" customWidth="1"/>
    <col min="133" max="134" width="13.625" style="17" customWidth="1"/>
    <col min="135" max="136" width="15" style="17" bestFit="1" customWidth="1"/>
    <col min="137" max="137" width="2.625" style="17" customWidth="1"/>
    <col min="138" max="138" width="2.625" style="18" customWidth="1"/>
    <col min="139" max="139" width="2.625" style="17" customWidth="1"/>
    <col min="140" max="140" width="4.625" style="17" customWidth="1"/>
    <col min="141" max="141" width="15.125" style="17" customWidth="1"/>
    <col min="142" max="149" width="13.625" style="17" customWidth="1"/>
    <col min="150" max="150" width="2.625" style="17" customWidth="1"/>
    <col min="151" max="151" width="2.625" style="18" customWidth="1"/>
    <col min="152" max="152" width="2.625" style="17" customWidth="1"/>
    <col min="153" max="153" width="4" style="17" customWidth="1"/>
    <col min="154" max="154" width="14.5" style="17" customWidth="1"/>
    <col min="155" max="156" width="13.625" style="17" bestFit="1" customWidth="1"/>
    <col min="157" max="157" width="12.875" style="17" bestFit="1" customWidth="1"/>
    <col min="158" max="158" width="13.625" style="17" bestFit="1" customWidth="1"/>
    <col min="159" max="159" width="12.625" style="17" customWidth="1"/>
    <col min="160" max="161" width="13.625" style="17" bestFit="1" customWidth="1"/>
    <col min="162" max="162" width="13.875" style="17" bestFit="1" customWidth="1"/>
    <col min="163" max="163" width="14.625" style="17" customWidth="1"/>
    <col min="164" max="164" width="19.25" style="17" customWidth="1"/>
    <col min="165" max="165" width="14.625" style="17" customWidth="1"/>
    <col min="166" max="166" width="2.625" style="17" customWidth="1"/>
    <col min="167" max="167" width="2.625" style="18" customWidth="1"/>
    <col min="168" max="168" width="2.625" style="17" customWidth="1"/>
    <col min="169" max="169" width="4.625" style="17" customWidth="1"/>
    <col min="170" max="170" width="1.125" style="17" customWidth="1"/>
    <col min="171" max="171" width="33.5" style="17" customWidth="1"/>
    <col min="172" max="173" width="13.625" style="17" bestFit="1" customWidth="1"/>
    <col min="174" max="174" width="13.875" style="17" bestFit="1" customWidth="1"/>
    <col min="175" max="175" width="15" style="17" bestFit="1" customWidth="1"/>
    <col min="176" max="176" width="13.125" style="17" bestFit="1" customWidth="1"/>
    <col min="177" max="178" width="13.875" style="17" bestFit="1" customWidth="1"/>
    <col min="179" max="179" width="13.625" style="17" bestFit="1" customWidth="1"/>
    <col min="180" max="180" width="18.625" style="17" customWidth="1"/>
    <col min="181" max="181" width="2.625" style="17" customWidth="1"/>
    <col min="182" max="182" width="2.625" style="18" customWidth="1"/>
    <col min="183" max="183" width="2.625" style="17" customWidth="1"/>
    <col min="184" max="184" width="9.125" style="17" customWidth="1"/>
    <col min="185" max="185" width="24.125" style="17" customWidth="1"/>
    <col min="186" max="186" width="11.875" style="17" bestFit="1" customWidth="1"/>
    <col min="187" max="187" width="11.625" style="17" bestFit="1" customWidth="1"/>
    <col min="188" max="188" width="13.125" style="17" bestFit="1" customWidth="1"/>
    <col min="189" max="189" width="13.875" style="17" bestFit="1" customWidth="1"/>
    <col min="190" max="190" width="10.125" style="17" bestFit="1" customWidth="1"/>
    <col min="191" max="191" width="9.625" style="17" bestFit="1" customWidth="1"/>
    <col min="192" max="192" width="11.125" style="17" bestFit="1" customWidth="1"/>
    <col min="193" max="193" width="11.625" style="17" bestFit="1" customWidth="1"/>
    <col min="194" max="194" width="2.625" style="17" customWidth="1"/>
    <col min="195" max="195" width="2.625" style="18" customWidth="1"/>
    <col min="196" max="196" width="2.625" style="17" customWidth="1"/>
    <col min="197" max="197" width="4.625" style="17" customWidth="1"/>
    <col min="198" max="198" width="14.625" style="17" customWidth="1"/>
    <col min="199" max="201" width="15.125" style="17" customWidth="1"/>
    <col min="202" max="202" width="16.875" style="17" bestFit="1" customWidth="1"/>
    <col min="203" max="206" width="15.125" style="17" customWidth="1"/>
    <col min="207" max="207" width="2.625" style="17" customWidth="1"/>
    <col min="208" max="208" width="2.625" style="18" customWidth="1"/>
    <col min="209" max="209" width="2.625" style="17" customWidth="1"/>
    <col min="210" max="210" width="2.5" style="17" customWidth="1"/>
    <col min="211" max="211" width="5" style="17" customWidth="1"/>
    <col min="212" max="212" width="8.125" style="17" bestFit="1" customWidth="1"/>
    <col min="213" max="214" width="9.25" style="17" bestFit="1" customWidth="1"/>
    <col min="215" max="215" width="14.5" style="17" bestFit="1" customWidth="1"/>
    <col min="216" max="216" width="15.375" style="17" bestFit="1" customWidth="1"/>
    <col min="217" max="217" width="6.875" style="17" bestFit="1" customWidth="1"/>
    <col min="218" max="218" width="8.25" style="17" bestFit="1" customWidth="1"/>
    <col min="219" max="221" width="9" style="17" bestFit="1" customWidth="1"/>
    <col min="222" max="222" width="3.625" style="17" customWidth="1"/>
    <col min="223" max="223" width="3.625" style="18" customWidth="1"/>
    <col min="224" max="224" width="3.625" style="17" customWidth="1"/>
    <col min="225" max="225" width="4.625" style="17" customWidth="1"/>
    <col min="226" max="226" width="10" style="17" customWidth="1"/>
    <col min="227" max="227" width="10.375" style="17" customWidth="1"/>
    <col min="228" max="228" width="16.875" style="17" customWidth="1"/>
    <col min="229" max="229" width="13.25" style="17" bestFit="1" customWidth="1"/>
    <col min="230" max="230" width="16.375" style="17" bestFit="1" customWidth="1"/>
    <col min="231" max="231" width="16.625" style="17" bestFit="1" customWidth="1"/>
    <col min="232" max="232" width="15.375" style="17" bestFit="1" customWidth="1"/>
    <col min="233" max="233" width="14.625" style="17" bestFit="1" customWidth="1"/>
    <col min="234" max="235" width="13.625" style="17" customWidth="1"/>
    <col min="236" max="236" width="14.25" style="17" bestFit="1" customWidth="1"/>
    <col min="237" max="237" width="13.5" style="17" bestFit="1" customWidth="1"/>
    <col min="238" max="238" width="3.625" style="17" customWidth="1"/>
    <col min="239" max="239" width="3.625" style="18" customWidth="1"/>
    <col min="240" max="240" width="3.625" style="17" customWidth="1"/>
    <col min="241" max="241" width="4.625" style="17" customWidth="1"/>
    <col min="242" max="242" width="7.625" style="17" customWidth="1"/>
    <col min="243" max="243" width="7.5" style="17" customWidth="1"/>
    <col min="244" max="244" width="8.25" style="17" bestFit="1" customWidth="1"/>
    <col min="245" max="245" width="12.5" style="17" bestFit="1" customWidth="1"/>
    <col min="246" max="246" width="12.125" style="17" bestFit="1" customWidth="1"/>
    <col min="247" max="247" width="10.75" style="17" bestFit="1" customWidth="1"/>
    <col min="248" max="248" width="10.75" style="616" bestFit="1" customWidth="1"/>
    <col min="249" max="249" width="11.375" style="17" bestFit="1" customWidth="1"/>
    <col min="250" max="250" width="11.75" style="616" bestFit="1" customWidth="1"/>
    <col min="251" max="251" width="12.125" style="17" bestFit="1" customWidth="1"/>
    <col min="252" max="252" width="12.375" style="17" bestFit="1" customWidth="1"/>
    <col min="253" max="253" width="10.875" style="17" bestFit="1" customWidth="1"/>
    <col min="254" max="254" width="11.375" style="17" bestFit="1" customWidth="1"/>
    <col min="255" max="256" width="10.75" style="17" bestFit="1" customWidth="1"/>
    <col min="257" max="258" width="11.125" style="17" bestFit="1" customWidth="1"/>
    <col min="259" max="259" width="11.875" style="17" bestFit="1" customWidth="1"/>
    <col min="260" max="260" width="12.125" style="17" bestFit="1" customWidth="1"/>
    <col min="261" max="261" width="13.875" style="17" customWidth="1"/>
    <col min="262" max="262" width="13.375" style="17" customWidth="1"/>
    <col min="263" max="263" width="12.5" style="17" customWidth="1"/>
    <col min="264" max="264" width="3" style="17" customWidth="1"/>
    <col min="265" max="265" width="3" style="18" customWidth="1"/>
    <col min="266" max="266" width="2.125" style="17" customWidth="1"/>
    <col min="267" max="267" width="5.625" style="17" customWidth="1"/>
    <col min="268" max="268" width="8.625" style="17" customWidth="1"/>
    <col min="269" max="269" width="7.75" style="17" bestFit="1" customWidth="1"/>
    <col min="270" max="270" width="8.625" style="17" customWidth="1"/>
    <col min="271" max="272" width="14.625" style="17" customWidth="1"/>
    <col min="273" max="273" width="7.625" style="17" customWidth="1"/>
    <col min="274" max="274" width="8.625" style="17" customWidth="1"/>
    <col min="275" max="275" width="7.75" style="17" bestFit="1" customWidth="1"/>
    <col min="276" max="276" width="9.125" style="17" customWidth="1"/>
    <col min="277" max="277" width="3.625" style="17" customWidth="1"/>
    <col min="278" max="278" width="3.625" style="18" customWidth="1"/>
    <col min="279" max="279" width="3.625" style="17" customWidth="1"/>
    <col min="280" max="280" width="4.5" style="17" customWidth="1"/>
    <col min="281" max="281" width="9.25" style="17" customWidth="1"/>
    <col min="282" max="282" width="7.625" style="17" bestFit="1" customWidth="1"/>
    <col min="283" max="283" width="7.125" style="17" bestFit="1" customWidth="1"/>
    <col min="284" max="284" width="9.5" style="17" bestFit="1" customWidth="1"/>
    <col min="285" max="285" width="9.625" style="17" bestFit="1" customWidth="1"/>
    <col min="286" max="286" width="12.75" style="17" bestFit="1" customWidth="1"/>
    <col min="287" max="287" width="13.625" style="17" bestFit="1" customWidth="1"/>
    <col min="288" max="288" width="12.625" style="17" bestFit="1" customWidth="1"/>
    <col min="289" max="289" width="13.125" style="17" bestFit="1" customWidth="1"/>
    <col min="290" max="290" width="10.625" style="17" bestFit="1" customWidth="1"/>
    <col min="291" max="291" width="11.25" style="17" bestFit="1" customWidth="1"/>
    <col min="292" max="292" width="13" style="17" bestFit="1" customWidth="1"/>
    <col min="293" max="293" width="12.625" style="17" bestFit="1" customWidth="1"/>
    <col min="294" max="294" width="3.625" style="17" customWidth="1"/>
    <col min="295" max="295" width="3.625" style="18" customWidth="1"/>
    <col min="296" max="296" width="3.625" style="17" customWidth="1"/>
    <col min="297" max="297" width="4.5" style="17" customWidth="1"/>
    <col min="298" max="298" width="9.875" style="17" customWidth="1"/>
    <col min="299" max="299" width="6.875" style="17" bestFit="1" customWidth="1"/>
    <col min="300" max="300" width="12.625" style="17" bestFit="1" customWidth="1"/>
    <col min="301" max="301" width="11.5" style="17" bestFit="1" customWidth="1"/>
    <col min="302" max="302" width="11.875" style="17" bestFit="1" customWidth="1"/>
    <col min="303" max="303" width="10.125" style="17" bestFit="1" customWidth="1"/>
    <col min="304" max="304" width="11.375" style="616" bestFit="1" customWidth="1"/>
    <col min="305" max="305" width="11.125" style="17" bestFit="1" customWidth="1"/>
    <col min="306" max="306" width="12" style="616" bestFit="1" customWidth="1"/>
    <col min="307" max="307" width="12.375" style="616" bestFit="1" customWidth="1"/>
    <col min="308" max="308" width="12.125" style="17" bestFit="1" customWidth="1"/>
    <col min="309" max="309" width="10.75" style="17" bestFit="1" customWidth="1"/>
    <col min="310" max="310" width="11" style="17" bestFit="1" customWidth="1"/>
    <col min="311" max="311" width="10.125" style="17" bestFit="1" customWidth="1"/>
    <col min="312" max="312" width="11" style="17" bestFit="1" customWidth="1"/>
    <col min="313" max="313" width="10.5" style="17" bestFit="1" customWidth="1"/>
    <col min="314" max="314" width="11.25" style="17" bestFit="1" customWidth="1"/>
    <col min="315" max="315" width="11.5" style="17" bestFit="1" customWidth="1"/>
    <col min="316" max="316" width="12" style="17" bestFit="1" customWidth="1"/>
    <col min="317" max="317" width="11.375" style="17" bestFit="1" customWidth="1"/>
    <col min="318" max="318" width="15.875" style="17" customWidth="1"/>
    <col min="319" max="319" width="6.125" style="17" customWidth="1"/>
    <col min="320" max="320" width="2.125" style="18" customWidth="1"/>
    <col min="321" max="322" width="6" style="17" customWidth="1"/>
    <col min="323" max="323" width="8.625" style="17" customWidth="1"/>
    <col min="324" max="324" width="16.5" style="17" customWidth="1"/>
    <col min="325" max="325" width="16.125" style="17" customWidth="1"/>
    <col min="326" max="326" width="16.375" style="17" bestFit="1" customWidth="1"/>
    <col min="327" max="327" width="15.375" style="17" bestFit="1" customWidth="1"/>
    <col min="328" max="328" width="15" style="17" bestFit="1" customWidth="1"/>
    <col min="329" max="329" width="15.375" style="17" bestFit="1" customWidth="1"/>
    <col min="330" max="331" width="13.875" style="17" bestFit="1" customWidth="1"/>
    <col min="332" max="332" width="15.375" style="17" bestFit="1" customWidth="1"/>
    <col min="333" max="333" width="9" style="17"/>
    <col min="334" max="334" width="2.5" style="18" customWidth="1"/>
    <col min="335" max="335" width="2.5" style="17" customWidth="1"/>
    <col min="336" max="336" width="14.5" style="17" customWidth="1"/>
    <col min="337" max="337" width="29.625" style="17" bestFit="1" customWidth="1"/>
    <col min="338" max="338" width="14.5" style="17" customWidth="1"/>
    <col min="339" max="339" width="2.5" style="17" customWidth="1"/>
    <col min="340" max="340" width="2.5" style="18" customWidth="1"/>
    <col min="341" max="341" width="2.5" style="17" customWidth="1"/>
    <col min="342" max="342" width="3.625" style="23" customWidth="1"/>
    <col min="343" max="343" width="53.5" style="23" customWidth="1"/>
    <col min="344" max="344" width="13.125" style="17" bestFit="1" customWidth="1"/>
    <col min="345" max="345" width="17.375" style="17" bestFit="1" customWidth="1"/>
    <col min="346" max="346" width="15.875" style="17" bestFit="1" customWidth="1"/>
    <col min="347" max="347" width="17.375" style="17" bestFit="1" customWidth="1"/>
    <col min="348" max="348" width="3.625" style="17" customWidth="1"/>
    <col min="349" max="349" width="2.5" style="18" customWidth="1"/>
    <col min="350" max="350" width="2.5" style="17" customWidth="1"/>
    <col min="351" max="351" width="4.125" style="17" bestFit="1" customWidth="1"/>
    <col min="352" max="352" width="51.625" style="616" bestFit="1" customWidth="1"/>
    <col min="353" max="353" width="14.125" style="17" customWidth="1"/>
    <col min="354" max="354" width="13.875" style="17" bestFit="1" customWidth="1"/>
    <col min="355" max="355" width="11.5" style="17" bestFit="1" customWidth="1"/>
    <col min="356" max="356" width="10.5" style="17" bestFit="1" customWidth="1"/>
    <col min="357" max="357" width="3.625" style="17" customWidth="1"/>
    <col min="358" max="358" width="2.5" style="18" customWidth="1"/>
    <col min="359" max="359" width="2.5" style="17" customWidth="1"/>
    <col min="360" max="360" width="12.125" style="35" bestFit="1" customWidth="1"/>
    <col min="361" max="361" width="12.5" style="35" bestFit="1" customWidth="1"/>
    <col min="362" max="362" width="11.375" style="35" bestFit="1" customWidth="1"/>
    <col min="363" max="412" width="9" style="35"/>
    <col min="413" max="16384" width="9" style="17"/>
  </cols>
  <sheetData>
    <row r="1" spans="1:412" s="6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2"/>
      <c r="V1" s="2"/>
      <c r="W1" s="1" t="s">
        <v>1</v>
      </c>
      <c r="X1" s="1"/>
      <c r="Y1" s="1"/>
      <c r="Z1" s="1"/>
      <c r="AA1" s="1"/>
      <c r="AB1" s="4"/>
      <c r="AC1" s="4"/>
      <c r="AD1" s="3"/>
      <c r="AE1" s="2"/>
      <c r="AF1" s="1" t="s">
        <v>2</v>
      </c>
      <c r="AG1" s="1"/>
      <c r="AH1" s="1"/>
      <c r="AI1" s="1"/>
      <c r="AJ1" s="1"/>
      <c r="AK1" s="2"/>
      <c r="AL1" s="3"/>
      <c r="AM1" s="1" t="s">
        <v>3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3"/>
      <c r="CP1" s="1" t="s">
        <v>4</v>
      </c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5"/>
      <c r="DC1" s="1" t="s">
        <v>5</v>
      </c>
      <c r="DD1" s="1"/>
      <c r="DE1" s="1"/>
      <c r="DF1" s="1"/>
      <c r="DG1" s="1"/>
      <c r="DH1" s="1"/>
      <c r="DI1" s="1"/>
      <c r="DJ1" s="1"/>
      <c r="DK1" s="1"/>
      <c r="DL1" s="5"/>
      <c r="DM1" s="1" t="s">
        <v>6</v>
      </c>
      <c r="DN1" s="1"/>
      <c r="DO1" s="1"/>
      <c r="DP1" s="1"/>
      <c r="DQ1" s="1"/>
      <c r="DR1" s="1"/>
      <c r="DS1" s="1"/>
      <c r="DT1" s="1"/>
      <c r="DU1" s="3"/>
      <c r="DV1" s="1" t="s">
        <v>7</v>
      </c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5"/>
      <c r="EJ1" s="1" t="s">
        <v>8</v>
      </c>
      <c r="EK1" s="1"/>
      <c r="EL1" s="1"/>
      <c r="EM1" s="1"/>
      <c r="EN1" s="1"/>
      <c r="EO1" s="1"/>
      <c r="EP1" s="1"/>
      <c r="EQ1" s="1"/>
      <c r="ER1" s="1"/>
      <c r="ES1" s="1"/>
      <c r="ET1" s="2"/>
      <c r="EU1" s="5"/>
      <c r="EV1" s="2"/>
      <c r="EW1" s="1" t="s">
        <v>9</v>
      </c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2"/>
      <c r="FK1" s="5"/>
      <c r="FL1" s="1" t="s">
        <v>10</v>
      </c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5"/>
      <c r="GA1" s="1" t="s">
        <v>11</v>
      </c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"/>
      <c r="GN1" s="1" t="s">
        <v>12</v>
      </c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5"/>
      <c r="HB1" s="7" t="s">
        <v>13</v>
      </c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O1" s="3"/>
      <c r="HP1" s="2"/>
      <c r="HQ1" s="8" t="s">
        <v>14</v>
      </c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2"/>
      <c r="IE1" s="3"/>
      <c r="IF1" s="2"/>
      <c r="IG1" s="8" t="s">
        <v>15</v>
      </c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4"/>
      <c r="JE1" s="5"/>
      <c r="JF1" s="2"/>
      <c r="JG1" s="8" t="s">
        <v>16</v>
      </c>
      <c r="JH1" s="8"/>
      <c r="JI1" s="8"/>
      <c r="JJ1" s="8"/>
      <c r="JK1" s="8"/>
      <c r="JL1" s="8"/>
      <c r="JM1" s="8"/>
      <c r="JN1" s="8"/>
      <c r="JO1" s="8"/>
      <c r="JP1" s="8"/>
      <c r="JR1" s="3"/>
      <c r="JT1" s="8" t="s">
        <v>17</v>
      </c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2"/>
      <c r="KI1" s="3"/>
      <c r="KJ1" s="2"/>
      <c r="KK1" s="9" t="s">
        <v>18</v>
      </c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4"/>
      <c r="LH1" s="5"/>
      <c r="LJ1" s="8" t="s">
        <v>19</v>
      </c>
      <c r="LK1" s="8"/>
      <c r="LL1" s="8"/>
      <c r="LM1" s="8"/>
      <c r="LN1" s="8"/>
      <c r="LO1" s="8"/>
      <c r="LP1" s="8"/>
      <c r="LQ1" s="8"/>
      <c r="LR1" s="8"/>
      <c r="LS1" s="8"/>
      <c r="LT1" s="8"/>
      <c r="LU1" s="2"/>
      <c r="LV1" s="3"/>
      <c r="LW1" s="2"/>
      <c r="LX1" s="8" t="s">
        <v>20</v>
      </c>
      <c r="LY1" s="8"/>
      <c r="LZ1" s="8"/>
      <c r="MA1" s="2"/>
      <c r="MB1" s="3"/>
      <c r="MC1" s="2"/>
      <c r="MD1" s="10" t="s">
        <v>21</v>
      </c>
      <c r="ME1" s="10"/>
      <c r="MF1" s="10"/>
      <c r="MG1" s="10"/>
      <c r="MH1" s="10"/>
      <c r="MI1" s="10"/>
      <c r="MJ1" s="2"/>
      <c r="MK1" s="3"/>
      <c r="ML1" s="2"/>
      <c r="MM1" s="11" t="s">
        <v>22</v>
      </c>
      <c r="MN1" s="11"/>
      <c r="MO1" s="11"/>
      <c r="MP1" s="11"/>
      <c r="MQ1" s="11"/>
      <c r="MR1" s="11"/>
      <c r="MS1" s="2"/>
      <c r="MT1" s="3"/>
      <c r="MU1" s="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</row>
    <row r="2" spans="1:412" x14ac:dyDescent="0.3">
      <c r="A2" s="13"/>
      <c r="B2" s="14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6"/>
      <c r="AK2" s="16"/>
      <c r="AM2" s="19"/>
      <c r="AO2" s="19"/>
      <c r="AP2" s="19"/>
      <c r="AQ2" s="19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20"/>
      <c r="ET2" s="24"/>
      <c r="EU2" s="25"/>
      <c r="FJ2" s="24"/>
      <c r="FK2" s="25"/>
      <c r="FY2" s="19"/>
      <c r="GL2" s="19"/>
      <c r="GM2" s="26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19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F2" s="27"/>
      <c r="JG2" s="28"/>
      <c r="JH2" s="28"/>
      <c r="JI2" s="28"/>
      <c r="JJ2" s="28"/>
      <c r="JK2" s="28"/>
      <c r="JL2" s="28"/>
      <c r="JM2" s="28"/>
      <c r="JN2" s="28"/>
      <c r="JO2" s="28"/>
      <c r="JP2" s="28"/>
      <c r="JR2" s="29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30"/>
      <c r="KI2" s="31"/>
      <c r="KJ2" s="30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32"/>
      <c r="LH2" s="33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V2" s="34"/>
      <c r="LW2" s="20"/>
      <c r="LX2" s="8"/>
      <c r="LY2" s="8"/>
      <c r="LZ2" s="8"/>
      <c r="MA2" s="2"/>
      <c r="MB2" s="3"/>
      <c r="MC2" s="2"/>
      <c r="MD2" s="10"/>
      <c r="ME2" s="10"/>
      <c r="MF2" s="10"/>
      <c r="MG2" s="10"/>
      <c r="MH2" s="10"/>
      <c r="MI2" s="10"/>
      <c r="MK2" s="34"/>
      <c r="ML2" s="20"/>
      <c r="MM2" s="11"/>
      <c r="MN2" s="11"/>
      <c r="MO2" s="11"/>
      <c r="MP2" s="11"/>
      <c r="MQ2" s="11"/>
      <c r="MR2" s="11"/>
      <c r="MT2" s="34"/>
      <c r="MU2" s="20"/>
    </row>
    <row r="3" spans="1:412" ht="36.75" customHeight="1" x14ac:dyDescent="0.3">
      <c r="A3" s="13"/>
      <c r="B3" s="36"/>
      <c r="C3" s="36"/>
      <c r="D3" s="36"/>
      <c r="E3" s="36"/>
      <c r="F3" s="37" t="s">
        <v>23</v>
      </c>
      <c r="G3" s="38"/>
      <c r="H3" s="37" t="s">
        <v>24</v>
      </c>
      <c r="I3" s="39"/>
      <c r="J3" s="38"/>
      <c r="K3" s="37" t="s">
        <v>25</v>
      </c>
      <c r="L3" s="39"/>
      <c r="M3" s="38"/>
      <c r="N3" s="37" t="s">
        <v>26</v>
      </c>
      <c r="O3" s="39"/>
      <c r="P3" s="38"/>
      <c r="Q3" s="37" t="s">
        <v>27</v>
      </c>
      <c r="R3" s="39"/>
      <c r="S3" s="40"/>
      <c r="T3" s="41"/>
      <c r="U3" s="42"/>
      <c r="V3" s="43"/>
      <c r="W3" s="43"/>
      <c r="X3" s="43"/>
      <c r="Y3" s="43"/>
      <c r="Z3" s="43"/>
      <c r="AA3" s="43"/>
      <c r="AF3" s="43"/>
      <c r="AG3" s="43"/>
      <c r="AH3" s="43"/>
      <c r="AI3" s="43"/>
      <c r="AJ3" s="43"/>
      <c r="AK3" s="44"/>
      <c r="AN3" s="45"/>
      <c r="AO3" s="46"/>
      <c r="AP3" s="47"/>
      <c r="AQ3" s="46"/>
      <c r="AR3" s="48"/>
      <c r="AS3" s="49" t="s">
        <v>28</v>
      </c>
      <c r="AT3" s="50"/>
      <c r="AU3" s="46"/>
      <c r="AV3" s="49" t="s">
        <v>29</v>
      </c>
      <c r="AW3" s="50"/>
      <c r="AX3" s="50"/>
      <c r="AY3" s="46"/>
      <c r="AZ3" s="49" t="s">
        <v>30</v>
      </c>
      <c r="BA3" s="50"/>
      <c r="BB3" s="50"/>
      <c r="BC3" s="46"/>
      <c r="BD3" s="49" t="s">
        <v>31</v>
      </c>
      <c r="BE3" s="50"/>
      <c r="BF3" s="50"/>
      <c r="BG3" s="46"/>
      <c r="BH3" s="49" t="s">
        <v>32</v>
      </c>
      <c r="BI3" s="50"/>
      <c r="BJ3" s="50"/>
      <c r="BK3" s="46"/>
      <c r="BL3" s="49" t="s">
        <v>33</v>
      </c>
      <c r="BM3" s="50"/>
      <c r="BN3" s="50"/>
      <c r="BO3" s="46"/>
      <c r="BP3" s="49" t="s">
        <v>34</v>
      </c>
      <c r="BQ3" s="50"/>
      <c r="BR3" s="50"/>
      <c r="BS3" s="46"/>
      <c r="BT3" s="49" t="s">
        <v>35</v>
      </c>
      <c r="BU3" s="50"/>
      <c r="BV3" s="50"/>
      <c r="BW3" s="50" t="s">
        <v>36</v>
      </c>
      <c r="BX3" s="50"/>
      <c r="BY3" s="50"/>
      <c r="BZ3" s="49" t="s">
        <v>37</v>
      </c>
      <c r="CA3" s="50"/>
      <c r="CB3" s="51"/>
      <c r="CC3" s="49" t="s">
        <v>38</v>
      </c>
      <c r="CD3" s="50"/>
      <c r="CE3" s="51"/>
      <c r="CF3" s="49" t="s">
        <v>39</v>
      </c>
      <c r="CG3" s="50"/>
      <c r="CH3" s="51"/>
      <c r="CI3" s="49" t="s">
        <v>23</v>
      </c>
      <c r="CJ3" s="50"/>
      <c r="CK3" s="51"/>
      <c r="CL3" s="52" t="s">
        <v>40</v>
      </c>
      <c r="CM3" s="53"/>
      <c r="CQ3" s="54"/>
      <c r="CR3" s="55"/>
      <c r="CS3" s="56" t="str">
        <f>F3</f>
        <v>2024 Fiscal Year As Accepted</v>
      </c>
      <c r="CT3" s="57"/>
      <c r="CU3" s="57"/>
      <c r="CV3" s="58"/>
      <c r="CW3" s="56" t="str">
        <f>H3</f>
        <v>2024 Fiscal Year As Adjusted</v>
      </c>
      <c r="CX3" s="57"/>
      <c r="CY3" s="57"/>
      <c r="CZ3" s="58"/>
      <c r="DA3" s="16"/>
      <c r="DD3" s="46"/>
      <c r="DE3" s="59"/>
      <c r="DF3" s="56" t="str">
        <f>CS3</f>
        <v>2024 Fiscal Year As Accepted</v>
      </c>
      <c r="DG3" s="58"/>
      <c r="DH3" s="56" t="str">
        <f>CW3</f>
        <v>2024 Fiscal Year As Adjusted</v>
      </c>
      <c r="DI3" s="57"/>
      <c r="DJ3" s="58"/>
      <c r="DN3" s="60"/>
      <c r="DO3" s="61"/>
      <c r="DP3" s="56" t="str">
        <f>DF3</f>
        <v>2024 Fiscal Year As Accepted</v>
      </c>
      <c r="DQ3" s="58"/>
      <c r="DR3" s="56" t="str">
        <f>DH3</f>
        <v>2024 Fiscal Year As Adjusted</v>
      </c>
      <c r="DS3" s="58"/>
      <c r="DW3" s="46"/>
      <c r="DX3" s="62"/>
      <c r="DY3" s="50" t="str">
        <f>DF3</f>
        <v>2024 Fiscal Year As Accepted</v>
      </c>
      <c r="DZ3" s="50"/>
      <c r="EA3" s="50"/>
      <c r="EB3" s="50"/>
      <c r="EC3" s="49" t="str">
        <f>DH3</f>
        <v>2024 Fiscal Year As Adjusted</v>
      </c>
      <c r="ED3" s="50"/>
      <c r="EE3" s="50"/>
      <c r="EF3" s="51"/>
      <c r="EH3" s="63"/>
      <c r="EJ3" s="46"/>
      <c r="EK3" s="46"/>
      <c r="EL3" s="49" t="str">
        <f>DY3</f>
        <v>2024 Fiscal Year As Accepted</v>
      </c>
      <c r="EM3" s="50"/>
      <c r="EN3" s="50"/>
      <c r="EO3" s="51"/>
      <c r="EP3" s="49" t="str">
        <f>EC3</f>
        <v>2024 Fiscal Year As Adjusted</v>
      </c>
      <c r="EQ3" s="50"/>
      <c r="ER3" s="50"/>
      <c r="ES3" s="51"/>
      <c r="ET3" s="16"/>
      <c r="EU3" s="64"/>
      <c r="EW3" s="46"/>
      <c r="EX3" s="48"/>
      <c r="EY3" s="50" t="str">
        <f>EL3</f>
        <v>2024 Fiscal Year As Accepted</v>
      </c>
      <c r="EZ3" s="50"/>
      <c r="FA3" s="50"/>
      <c r="FB3" s="51"/>
      <c r="FC3" s="50" t="str">
        <f>EP3</f>
        <v>2024 Fiscal Year As Adjusted</v>
      </c>
      <c r="FD3" s="50"/>
      <c r="FE3" s="50"/>
      <c r="FF3" s="51"/>
      <c r="FG3" s="50" t="s">
        <v>41</v>
      </c>
      <c r="FH3" s="50"/>
      <c r="FI3" s="51"/>
      <c r="FJ3" s="16"/>
      <c r="FK3" s="64"/>
      <c r="FM3" s="46"/>
      <c r="FN3" s="46"/>
      <c r="FO3" s="46"/>
      <c r="FP3" s="65" t="str">
        <f>EL3</f>
        <v>2024 Fiscal Year As Accepted</v>
      </c>
      <c r="FQ3" s="66"/>
      <c r="FR3" s="66"/>
      <c r="FS3" s="67"/>
      <c r="FT3" s="65" t="str">
        <f>EP3</f>
        <v>2024 Fiscal Year As Adjusted</v>
      </c>
      <c r="FU3" s="66"/>
      <c r="FV3" s="66"/>
      <c r="FW3" s="66"/>
      <c r="FX3" s="67"/>
      <c r="FY3" s="19"/>
      <c r="FZ3" s="26"/>
      <c r="GB3" s="45"/>
      <c r="GC3" s="46"/>
      <c r="GD3" s="65" t="str">
        <f>FP3</f>
        <v>2024 Fiscal Year As Accepted</v>
      </c>
      <c r="GE3" s="66"/>
      <c r="GF3" s="66"/>
      <c r="GG3" s="67"/>
      <c r="GH3" s="56" t="str">
        <f>FT3</f>
        <v>2024 Fiscal Year As Adjusted</v>
      </c>
      <c r="GI3" s="66"/>
      <c r="GJ3" s="66"/>
      <c r="GK3" s="67"/>
      <c r="GL3" s="16"/>
      <c r="GM3" s="68"/>
      <c r="GO3" s="46"/>
      <c r="GP3" s="46"/>
      <c r="GQ3" s="69" t="str">
        <f>GD3</f>
        <v>2024 Fiscal Year As Accepted</v>
      </c>
      <c r="GR3" s="70"/>
      <c r="GS3" s="70"/>
      <c r="GT3" s="71"/>
      <c r="GU3" s="69" t="str">
        <f>GH3</f>
        <v>2024 Fiscal Year As Adjusted</v>
      </c>
      <c r="GV3" s="70"/>
      <c r="GW3" s="70"/>
      <c r="GX3" s="71"/>
      <c r="HB3" s="16"/>
      <c r="HC3" s="72"/>
      <c r="HD3" s="73"/>
      <c r="HE3" s="73"/>
      <c r="HF3" s="73"/>
      <c r="HG3" s="73"/>
      <c r="HH3" s="73"/>
      <c r="HI3" s="74"/>
      <c r="HJ3" s="73"/>
      <c r="HK3" s="73"/>
      <c r="HL3" s="73"/>
      <c r="HM3" s="73"/>
      <c r="HN3" s="75"/>
      <c r="HP3" s="75"/>
      <c r="HQ3" s="76"/>
      <c r="HR3" s="77"/>
      <c r="HS3" s="77"/>
      <c r="HT3" s="52" t="s">
        <v>42</v>
      </c>
      <c r="HU3" s="78"/>
      <c r="HV3" s="52" t="s">
        <v>43</v>
      </c>
      <c r="HW3" s="78"/>
      <c r="HX3" s="52" t="s">
        <v>44</v>
      </c>
      <c r="HY3" s="78"/>
      <c r="HZ3" s="52" t="s">
        <v>45</v>
      </c>
      <c r="IA3" s="78"/>
      <c r="IB3" s="52" t="s">
        <v>46</v>
      </c>
      <c r="IC3" s="53"/>
      <c r="ID3" s="30"/>
      <c r="IE3" s="31"/>
      <c r="IF3" s="30"/>
      <c r="IG3" s="46"/>
      <c r="IH3" s="79"/>
      <c r="II3" s="79"/>
      <c r="IJ3" s="79"/>
      <c r="IK3" s="80" t="s">
        <v>47</v>
      </c>
      <c r="IL3" s="81"/>
      <c r="IM3" s="80" t="s">
        <v>48</v>
      </c>
      <c r="IN3" s="81"/>
      <c r="IO3" s="80" t="s">
        <v>49</v>
      </c>
      <c r="IP3" s="81"/>
      <c r="IQ3" s="80" t="s">
        <v>50</v>
      </c>
      <c r="IR3" s="81"/>
      <c r="IS3" s="80" t="s">
        <v>51</v>
      </c>
      <c r="IT3" s="81"/>
      <c r="IU3" s="80" t="s">
        <v>52</v>
      </c>
      <c r="IV3" s="81"/>
      <c r="IW3" s="80" t="s">
        <v>53</v>
      </c>
      <c r="IX3" s="81"/>
      <c r="IY3" s="80" t="s">
        <v>54</v>
      </c>
      <c r="IZ3" s="81"/>
      <c r="JA3" s="80" t="s">
        <v>55</v>
      </c>
      <c r="JB3" s="82"/>
      <c r="JC3" s="82"/>
      <c r="JD3" s="75"/>
      <c r="JE3" s="83"/>
      <c r="JF3" s="27"/>
      <c r="JG3" s="84"/>
      <c r="JH3" s="85"/>
      <c r="JI3" s="85"/>
      <c r="JJ3" s="85"/>
      <c r="JK3" s="85"/>
      <c r="JL3" s="85"/>
      <c r="JM3" s="85"/>
      <c r="JN3" s="85"/>
      <c r="JO3" s="85"/>
      <c r="JP3" s="85"/>
      <c r="JQ3" s="30"/>
      <c r="JR3" s="31"/>
      <c r="JS3" s="86"/>
      <c r="JT3" s="87"/>
      <c r="JU3" s="77"/>
      <c r="JV3" s="77"/>
      <c r="JW3" s="88"/>
      <c r="JX3" s="52" t="s">
        <v>42</v>
      </c>
      <c r="JY3" s="78"/>
      <c r="JZ3" s="52" t="s">
        <v>43</v>
      </c>
      <c r="KA3" s="78"/>
      <c r="KB3" s="52" t="s">
        <v>56</v>
      </c>
      <c r="KC3" s="78"/>
      <c r="KD3" s="52" t="s">
        <v>57</v>
      </c>
      <c r="KE3" s="78"/>
      <c r="KF3" s="52" t="s">
        <v>46</v>
      </c>
      <c r="KG3" s="53"/>
      <c r="KH3" s="86"/>
      <c r="KI3" s="89"/>
      <c r="KJ3" s="86"/>
      <c r="KK3" s="90"/>
      <c r="KL3" s="77"/>
      <c r="KM3" s="77"/>
      <c r="KN3" s="77"/>
      <c r="KO3" s="52" t="s">
        <v>47</v>
      </c>
      <c r="KP3" s="78"/>
      <c r="KQ3" s="52" t="s">
        <v>58</v>
      </c>
      <c r="KR3" s="78"/>
      <c r="KS3" s="52" t="s">
        <v>49</v>
      </c>
      <c r="KT3" s="78"/>
      <c r="KU3" s="52" t="s">
        <v>50</v>
      </c>
      <c r="KV3" s="78"/>
      <c r="KW3" s="52" t="s">
        <v>51</v>
      </c>
      <c r="KX3" s="78"/>
      <c r="KY3" s="52" t="s">
        <v>52</v>
      </c>
      <c r="KZ3" s="78"/>
      <c r="LA3" s="52" t="s">
        <v>53</v>
      </c>
      <c r="LB3" s="78"/>
      <c r="LC3" s="52" t="s">
        <v>54</v>
      </c>
      <c r="LD3" s="78"/>
      <c r="LE3" s="52" t="s">
        <v>59</v>
      </c>
      <c r="LF3" s="53"/>
      <c r="LG3" s="27"/>
      <c r="LH3" s="91"/>
      <c r="LJ3" s="46"/>
      <c r="LK3" s="92"/>
      <c r="LL3" s="52" t="s">
        <v>46</v>
      </c>
      <c r="LM3" s="53"/>
      <c r="LN3" s="78"/>
      <c r="LO3" s="52" t="s">
        <v>60</v>
      </c>
      <c r="LP3" s="53"/>
      <c r="LQ3" s="78"/>
      <c r="LR3" s="52" t="s">
        <v>61</v>
      </c>
      <c r="LS3" s="53"/>
      <c r="LT3" s="78"/>
      <c r="LV3" s="26"/>
      <c r="LW3" s="19"/>
      <c r="LX3" s="93"/>
      <c r="LY3" s="93"/>
      <c r="LZ3" s="93"/>
      <c r="MA3" s="19"/>
      <c r="MB3" s="26"/>
      <c r="MC3" s="19"/>
      <c r="MD3" s="94"/>
      <c r="ME3" s="94"/>
      <c r="MF3" s="43"/>
      <c r="MG3" s="43"/>
      <c r="MH3" s="43"/>
      <c r="MI3" s="43"/>
      <c r="MK3" s="26"/>
      <c r="ML3" s="19"/>
      <c r="MM3" s="94"/>
      <c r="MN3" s="43"/>
      <c r="MO3" s="43"/>
      <c r="MP3" s="43"/>
      <c r="MQ3" s="43"/>
      <c r="MR3" s="43"/>
      <c r="MT3" s="26"/>
      <c r="MU3" s="19"/>
    </row>
    <row r="4" spans="1:412" s="103" customFormat="1" ht="67.5" customHeight="1" x14ac:dyDescent="0.3">
      <c r="A4" s="95"/>
      <c r="B4" s="96"/>
      <c r="C4" s="97"/>
      <c r="D4" s="97"/>
      <c r="E4" s="97"/>
      <c r="F4" s="98" t="s">
        <v>62</v>
      </c>
      <c r="G4" s="99" t="s">
        <v>63</v>
      </c>
      <c r="H4" s="98" t="s">
        <v>62</v>
      </c>
      <c r="I4" s="100" t="s">
        <v>63</v>
      </c>
      <c r="J4" s="99" t="s">
        <v>64</v>
      </c>
      <c r="K4" s="98" t="s">
        <v>62</v>
      </c>
      <c r="L4" s="100" t="s">
        <v>63</v>
      </c>
      <c r="M4" s="99" t="s">
        <v>65</v>
      </c>
      <c r="N4" s="98" t="s">
        <v>62</v>
      </c>
      <c r="O4" s="100" t="s">
        <v>63</v>
      </c>
      <c r="P4" s="99" t="s">
        <v>66</v>
      </c>
      <c r="Q4" s="101" t="s">
        <v>67</v>
      </c>
      <c r="R4" s="100" t="s">
        <v>68</v>
      </c>
      <c r="S4" s="75"/>
      <c r="T4" s="102"/>
      <c r="V4" s="104"/>
      <c r="W4" s="104"/>
      <c r="X4" s="105" t="s">
        <v>69</v>
      </c>
      <c r="Y4" s="105" t="s">
        <v>70</v>
      </c>
      <c r="Z4" s="105" t="s">
        <v>71</v>
      </c>
      <c r="AA4" s="105" t="s">
        <v>72</v>
      </c>
      <c r="AB4" s="106"/>
      <c r="AC4" s="95"/>
      <c r="AD4" s="107"/>
      <c r="AE4" s="95"/>
      <c r="AF4" s="97"/>
      <c r="AG4" s="97"/>
      <c r="AH4" s="96" t="str">
        <f>D14</f>
        <v>Direct Labour</v>
      </c>
      <c r="AI4" s="96" t="str">
        <f>D15</f>
        <v>Collector Labour</v>
      </c>
      <c r="AJ4" s="96" t="str">
        <f>D16</f>
        <v>Overhead Labour</v>
      </c>
      <c r="AL4" s="102"/>
      <c r="AM4" s="95"/>
      <c r="AN4" s="105"/>
      <c r="AO4" s="108"/>
      <c r="AP4" s="108"/>
      <c r="AQ4" s="108"/>
      <c r="AR4" s="108"/>
      <c r="AS4" s="109" t="s">
        <v>62</v>
      </c>
      <c r="AT4" s="110" t="s">
        <v>73</v>
      </c>
      <c r="AU4" s="105"/>
      <c r="AV4" s="109" t="s">
        <v>62</v>
      </c>
      <c r="AW4" s="110" t="s">
        <v>73</v>
      </c>
      <c r="AX4" s="110" t="s">
        <v>74</v>
      </c>
      <c r="AY4" s="105"/>
      <c r="AZ4" s="109" t="s">
        <v>62</v>
      </c>
      <c r="BA4" s="110" t="s">
        <v>73</v>
      </c>
      <c r="BB4" s="110" t="s">
        <v>74</v>
      </c>
      <c r="BC4" s="105"/>
      <c r="BD4" s="109" t="s">
        <v>62</v>
      </c>
      <c r="BE4" s="110" t="s">
        <v>73</v>
      </c>
      <c r="BF4" s="110" t="s">
        <v>74</v>
      </c>
      <c r="BG4" s="105"/>
      <c r="BH4" s="109" t="s">
        <v>62</v>
      </c>
      <c r="BI4" s="110" t="s">
        <v>73</v>
      </c>
      <c r="BJ4" s="110" t="s">
        <v>74</v>
      </c>
      <c r="BK4" s="105"/>
      <c r="BL4" s="109" t="s">
        <v>62</v>
      </c>
      <c r="BM4" s="110" t="s">
        <v>73</v>
      </c>
      <c r="BN4" s="110" t="s">
        <v>74</v>
      </c>
      <c r="BO4" s="105"/>
      <c r="BP4" s="109" t="s">
        <v>62</v>
      </c>
      <c r="BQ4" s="110" t="s">
        <v>73</v>
      </c>
      <c r="BR4" s="110" t="s">
        <v>74</v>
      </c>
      <c r="BS4" s="105"/>
      <c r="BT4" s="109" t="s">
        <v>62</v>
      </c>
      <c r="BU4" s="110" t="s">
        <v>73</v>
      </c>
      <c r="BV4" s="110" t="s">
        <v>75</v>
      </c>
      <c r="BW4" s="109" t="s">
        <v>62</v>
      </c>
      <c r="BX4" s="110" t="s">
        <v>73</v>
      </c>
      <c r="BY4" s="110" t="s">
        <v>75</v>
      </c>
      <c r="BZ4" s="109" t="s">
        <v>62</v>
      </c>
      <c r="CA4" s="110" t="s">
        <v>73</v>
      </c>
      <c r="CB4" s="110" t="s">
        <v>75</v>
      </c>
      <c r="CC4" s="109" t="s">
        <v>62</v>
      </c>
      <c r="CD4" s="110" t="s">
        <v>73</v>
      </c>
      <c r="CE4" s="110" t="s">
        <v>75</v>
      </c>
      <c r="CF4" s="109" t="s">
        <v>62</v>
      </c>
      <c r="CG4" s="110" t="s">
        <v>73</v>
      </c>
      <c r="CH4" s="110" t="s">
        <v>75</v>
      </c>
      <c r="CI4" s="109" t="s">
        <v>62</v>
      </c>
      <c r="CJ4" s="110" t="s">
        <v>73</v>
      </c>
      <c r="CK4" s="110" t="s">
        <v>75</v>
      </c>
      <c r="CL4" s="111" t="s">
        <v>76</v>
      </c>
      <c r="CM4" s="110" t="s">
        <v>77</v>
      </c>
      <c r="CN4" s="95"/>
      <c r="CO4" s="107"/>
      <c r="CP4" s="95"/>
      <c r="CQ4" s="112"/>
      <c r="CR4" s="113"/>
      <c r="CS4" s="114" t="s">
        <v>78</v>
      </c>
      <c r="CT4" s="115" t="s">
        <v>79</v>
      </c>
      <c r="CU4" s="96" t="s">
        <v>80</v>
      </c>
      <c r="CV4" s="116" t="s">
        <v>72</v>
      </c>
      <c r="CW4" s="114" t="s">
        <v>78</v>
      </c>
      <c r="CX4" s="115" t="s">
        <v>79</v>
      </c>
      <c r="CY4" s="96" t="s">
        <v>80</v>
      </c>
      <c r="CZ4" s="116" t="s">
        <v>72</v>
      </c>
      <c r="DA4" s="117"/>
      <c r="DB4" s="107"/>
      <c r="DC4" s="95"/>
      <c r="DD4" s="96"/>
      <c r="DE4" s="115" t="s">
        <v>81</v>
      </c>
      <c r="DF4" s="114" t="s">
        <v>82</v>
      </c>
      <c r="DG4" s="118" t="s">
        <v>83</v>
      </c>
      <c r="DH4" s="114" t="s">
        <v>82</v>
      </c>
      <c r="DI4" s="119" t="s">
        <v>83</v>
      </c>
      <c r="DJ4" s="120" t="s">
        <v>84</v>
      </c>
      <c r="DK4" s="95"/>
      <c r="DL4" s="107"/>
      <c r="DM4" s="95"/>
      <c r="DN4" s="96"/>
      <c r="DO4" s="121" t="s">
        <v>81</v>
      </c>
      <c r="DP4" s="114" t="s">
        <v>82</v>
      </c>
      <c r="DQ4" s="118" t="s">
        <v>83</v>
      </c>
      <c r="DR4" s="114" t="s">
        <v>82</v>
      </c>
      <c r="DS4" s="118" t="s">
        <v>83</v>
      </c>
      <c r="DT4" s="95"/>
      <c r="DU4" s="107"/>
      <c r="DV4" s="95"/>
      <c r="DW4" s="96"/>
      <c r="DX4" s="122"/>
      <c r="DY4" s="96" t="s">
        <v>69</v>
      </c>
      <c r="DZ4" s="96" t="s">
        <v>70</v>
      </c>
      <c r="EA4" s="96" t="s">
        <v>71</v>
      </c>
      <c r="EB4" s="123" t="s">
        <v>72</v>
      </c>
      <c r="EC4" s="114" t="s">
        <v>69</v>
      </c>
      <c r="ED4" s="96" t="s">
        <v>70</v>
      </c>
      <c r="EE4" s="96" t="s">
        <v>71</v>
      </c>
      <c r="EF4" s="124" t="s">
        <v>72</v>
      </c>
      <c r="EG4" s="125"/>
      <c r="EH4" s="107"/>
      <c r="EI4" s="95"/>
      <c r="EJ4" s="97"/>
      <c r="EK4" s="97"/>
      <c r="EL4" s="126" t="s">
        <v>69</v>
      </c>
      <c r="EM4" s="127" t="s">
        <v>70</v>
      </c>
      <c r="EN4" s="127" t="s">
        <v>71</v>
      </c>
      <c r="EO4" s="128" t="s">
        <v>72</v>
      </c>
      <c r="EP4" s="126" t="s">
        <v>69</v>
      </c>
      <c r="EQ4" s="127" t="s">
        <v>70</v>
      </c>
      <c r="ER4" s="127" t="s">
        <v>71</v>
      </c>
      <c r="ES4" s="128" t="s">
        <v>72</v>
      </c>
      <c r="ET4" s="129"/>
      <c r="EU4" s="130"/>
      <c r="EV4" s="95"/>
      <c r="EW4" s="97"/>
      <c r="EX4" s="131"/>
      <c r="EY4" s="127" t="s">
        <v>69</v>
      </c>
      <c r="EZ4" s="127" t="s">
        <v>70</v>
      </c>
      <c r="FA4" s="127" t="s">
        <v>71</v>
      </c>
      <c r="FB4" s="128" t="s">
        <v>72</v>
      </c>
      <c r="FC4" s="127" t="s">
        <v>69</v>
      </c>
      <c r="FD4" s="127" t="s">
        <v>70</v>
      </c>
      <c r="FE4" s="127" t="s">
        <v>71</v>
      </c>
      <c r="FF4" s="128" t="s">
        <v>72</v>
      </c>
      <c r="FG4" s="132" t="s">
        <v>85</v>
      </c>
      <c r="FH4" s="132" t="s">
        <v>86</v>
      </c>
      <c r="FI4" s="133" t="s">
        <v>87</v>
      </c>
      <c r="FJ4" s="129"/>
      <c r="FK4" s="130"/>
      <c r="FL4" s="95"/>
      <c r="FM4" s="108"/>
      <c r="FN4" s="108"/>
      <c r="FO4" s="134"/>
      <c r="FP4" s="114" t="s">
        <v>69</v>
      </c>
      <c r="FQ4" s="96" t="s">
        <v>70</v>
      </c>
      <c r="FR4" s="96" t="s">
        <v>71</v>
      </c>
      <c r="FS4" s="135" t="s">
        <v>72</v>
      </c>
      <c r="FT4" s="114" t="str">
        <f>FP4</f>
        <v>Small</v>
      </c>
      <c r="FU4" s="96" t="s">
        <v>70</v>
      </c>
      <c r="FV4" s="96" t="str">
        <f>FR4</f>
        <v>Large</v>
      </c>
      <c r="FW4" s="96" t="s">
        <v>72</v>
      </c>
      <c r="FX4" s="116" t="s">
        <v>88</v>
      </c>
      <c r="FY4" s="136"/>
      <c r="FZ4" s="137"/>
      <c r="GA4" s="95"/>
      <c r="GB4" s="105"/>
      <c r="GC4" s="138"/>
      <c r="GD4" s="96" t="s">
        <v>69</v>
      </c>
      <c r="GE4" s="96" t="s">
        <v>70</v>
      </c>
      <c r="GF4" s="96" t="s">
        <v>71</v>
      </c>
      <c r="GG4" s="135" t="s">
        <v>89</v>
      </c>
      <c r="GH4" s="114" t="s">
        <v>69</v>
      </c>
      <c r="GI4" s="96" t="s">
        <v>70</v>
      </c>
      <c r="GJ4" s="96" t="s">
        <v>71</v>
      </c>
      <c r="GK4" s="135" t="s">
        <v>89</v>
      </c>
      <c r="GL4" s="139"/>
      <c r="GM4" s="140"/>
      <c r="GN4" s="95"/>
      <c r="GO4" s="105"/>
      <c r="GP4" s="134"/>
      <c r="GQ4" s="114" t="s">
        <v>69</v>
      </c>
      <c r="GR4" s="96" t="s">
        <v>70</v>
      </c>
      <c r="GS4" s="96" t="s">
        <v>71</v>
      </c>
      <c r="GT4" s="135" t="s">
        <v>72</v>
      </c>
      <c r="GU4" s="114" t="s">
        <v>69</v>
      </c>
      <c r="GV4" s="96" t="s">
        <v>70</v>
      </c>
      <c r="GW4" s="96" t="s">
        <v>71</v>
      </c>
      <c r="GX4" s="135" t="s">
        <v>72</v>
      </c>
      <c r="GY4" s="95"/>
      <c r="GZ4" s="107"/>
      <c r="HA4" s="95"/>
      <c r="HB4" s="95"/>
      <c r="HC4" s="141"/>
      <c r="HD4" s="110" t="s">
        <v>90</v>
      </c>
      <c r="HE4" s="110" t="s">
        <v>91</v>
      </c>
      <c r="HF4" s="110" t="s">
        <v>92</v>
      </c>
      <c r="HG4" s="142" t="s">
        <v>93</v>
      </c>
      <c r="HH4" s="143" t="s">
        <v>94</v>
      </c>
      <c r="HI4" s="143" t="s">
        <v>95</v>
      </c>
      <c r="HJ4" s="143" t="s">
        <v>96</v>
      </c>
      <c r="HK4" s="143" t="s">
        <v>97</v>
      </c>
      <c r="HL4" s="143" t="s">
        <v>98</v>
      </c>
      <c r="HM4" s="143" t="s">
        <v>99</v>
      </c>
      <c r="HN4" s="86"/>
      <c r="HO4" s="137"/>
      <c r="HP4" s="86"/>
      <c r="HQ4" s="110"/>
      <c r="HR4" s="144" t="s">
        <v>90</v>
      </c>
      <c r="HS4" s="145" t="str">
        <f>HJ4</f>
        <v>Volume Ratio</v>
      </c>
      <c r="HT4" s="146" t="s">
        <v>100</v>
      </c>
      <c r="HU4" s="120" t="s">
        <v>101</v>
      </c>
      <c r="HV4" s="146" t="str">
        <f>IW4</f>
        <v>Study System</v>
      </c>
      <c r="HW4" s="120" t="s">
        <v>102</v>
      </c>
      <c r="HX4" s="146" t="str">
        <f>HV4</f>
        <v>Study System</v>
      </c>
      <c r="HY4" s="120" t="s">
        <v>102</v>
      </c>
      <c r="HZ4" s="146" t="str">
        <f>HX4</f>
        <v>Study System</v>
      </c>
      <c r="IA4" s="120" t="s">
        <v>102</v>
      </c>
      <c r="IB4" s="146" t="s">
        <v>103</v>
      </c>
      <c r="IC4" s="147" t="s">
        <v>104</v>
      </c>
      <c r="ID4" s="148"/>
      <c r="IE4" s="149"/>
      <c r="IF4" s="148"/>
      <c r="IG4" s="122"/>
      <c r="IH4" s="150" t="s">
        <v>90</v>
      </c>
      <c r="II4" s="151" t="s">
        <v>95</v>
      </c>
      <c r="IJ4" s="151" t="s">
        <v>96</v>
      </c>
      <c r="IK4" s="122" t="str">
        <f>HT4</f>
        <v>Study System</v>
      </c>
      <c r="IL4" s="152" t="s">
        <v>105</v>
      </c>
      <c r="IM4" s="153" t="str">
        <f>IK4</f>
        <v>Study System</v>
      </c>
      <c r="IN4" s="152" t="s">
        <v>106</v>
      </c>
      <c r="IO4" s="153" t="str">
        <f>IK4</f>
        <v>Study System</v>
      </c>
      <c r="IP4" s="152" t="s">
        <v>107</v>
      </c>
      <c r="IQ4" s="153" t="str">
        <f>IO4</f>
        <v>Study System</v>
      </c>
      <c r="IR4" s="152" t="s">
        <v>108</v>
      </c>
      <c r="IS4" s="153" t="str">
        <f>IQ4</f>
        <v>Study System</v>
      </c>
      <c r="IT4" s="152" t="s">
        <v>109</v>
      </c>
      <c r="IU4" s="153" t="str">
        <f>IS4</f>
        <v>Study System</v>
      </c>
      <c r="IV4" s="152" t="s">
        <v>110</v>
      </c>
      <c r="IW4" s="153" t="str">
        <f>IQ4</f>
        <v>Study System</v>
      </c>
      <c r="IX4" s="152" t="s">
        <v>111</v>
      </c>
      <c r="IY4" s="153" t="str">
        <f>IW4</f>
        <v>Study System</v>
      </c>
      <c r="IZ4" s="152" t="s">
        <v>112</v>
      </c>
      <c r="JA4" s="153" t="s">
        <v>113</v>
      </c>
      <c r="JB4" s="154" t="s">
        <v>114</v>
      </c>
      <c r="JC4" s="154" t="s">
        <v>115</v>
      </c>
      <c r="JD4" s="148"/>
      <c r="JE4" s="149"/>
      <c r="JF4" s="155"/>
      <c r="JG4" s="156"/>
      <c r="JH4" s="100" t="s">
        <v>90</v>
      </c>
      <c r="JI4" s="157" t="s">
        <v>116</v>
      </c>
      <c r="JJ4" s="157" t="s">
        <v>117</v>
      </c>
      <c r="JK4" s="157" t="s">
        <v>118</v>
      </c>
      <c r="JL4" s="157" t="s">
        <v>119</v>
      </c>
      <c r="JM4" s="157" t="s">
        <v>95</v>
      </c>
      <c r="JN4" s="157" t="s">
        <v>96</v>
      </c>
      <c r="JO4" s="100" t="s">
        <v>120</v>
      </c>
      <c r="JP4" s="157" t="s">
        <v>121</v>
      </c>
      <c r="JQ4" s="86"/>
      <c r="JR4" s="89"/>
      <c r="JS4" s="158"/>
      <c r="JT4" s="110"/>
      <c r="JU4" s="111" t="s">
        <v>90</v>
      </c>
      <c r="JV4" s="145" t="str">
        <f>JP4</f>
        <v>FY Quarter</v>
      </c>
      <c r="JW4" s="145" t="str">
        <f>JO4</f>
        <v>Total System Ratio</v>
      </c>
      <c r="JX4" s="146" t="s">
        <v>25</v>
      </c>
      <c r="JY4" s="120" t="s">
        <v>122</v>
      </c>
      <c r="JZ4" s="146" t="s">
        <v>25</v>
      </c>
      <c r="KA4" s="120" t="str">
        <f>LB4</f>
        <v>Target Year</v>
      </c>
      <c r="KB4" s="146" t="str">
        <f>JZ4</f>
        <v>Total System</v>
      </c>
      <c r="KC4" s="120" t="str">
        <f>KA4</f>
        <v>Target Year</v>
      </c>
      <c r="KD4" s="147" t="s">
        <v>25</v>
      </c>
      <c r="KE4" s="147" t="s">
        <v>122</v>
      </c>
      <c r="KF4" s="146" t="s">
        <v>123</v>
      </c>
      <c r="KG4" s="147" t="s">
        <v>124</v>
      </c>
      <c r="KH4" s="158"/>
      <c r="KI4" s="159"/>
      <c r="KJ4" s="158"/>
      <c r="KK4" s="122"/>
      <c r="KL4" s="144" t="s">
        <v>125</v>
      </c>
      <c r="KM4" s="160" t="s">
        <v>95</v>
      </c>
      <c r="KN4" s="145" t="s">
        <v>96</v>
      </c>
      <c r="KO4" s="146" t="s">
        <v>126</v>
      </c>
      <c r="KP4" s="120" t="s">
        <v>122</v>
      </c>
      <c r="KQ4" s="146" t="s">
        <v>126</v>
      </c>
      <c r="KR4" s="120" t="str">
        <f>KP4</f>
        <v>Target Year</v>
      </c>
      <c r="KS4" s="146" t="s">
        <v>126</v>
      </c>
      <c r="KT4" s="120" t="str">
        <f>KR4</f>
        <v>Target Year</v>
      </c>
      <c r="KU4" s="146" t="s">
        <v>126</v>
      </c>
      <c r="KV4" s="120" t="str">
        <f>KT4</f>
        <v>Target Year</v>
      </c>
      <c r="KW4" s="146" t="s">
        <v>126</v>
      </c>
      <c r="KX4" s="120" t="str">
        <f>KT4</f>
        <v>Target Year</v>
      </c>
      <c r="KY4" s="146" t="s">
        <v>126</v>
      </c>
      <c r="KZ4" s="120" t="str">
        <f>KV4</f>
        <v>Target Year</v>
      </c>
      <c r="LA4" s="146" t="s">
        <v>126</v>
      </c>
      <c r="LB4" s="120" t="str">
        <f>KV4</f>
        <v>Target Year</v>
      </c>
      <c r="LC4" s="146" t="s">
        <v>126</v>
      </c>
      <c r="LD4" s="120" t="str">
        <f>LB4</f>
        <v>Target Year</v>
      </c>
      <c r="LE4" s="146" t="s">
        <v>25</v>
      </c>
      <c r="LF4" s="147" t="s">
        <v>127</v>
      </c>
      <c r="LG4" s="161"/>
      <c r="LH4" s="162"/>
      <c r="LJ4" s="122"/>
      <c r="LK4" s="115" t="s">
        <v>90</v>
      </c>
      <c r="LL4" s="146" t="s">
        <v>100</v>
      </c>
      <c r="LM4" s="115" t="s">
        <v>25</v>
      </c>
      <c r="LN4" s="120" t="s">
        <v>122</v>
      </c>
      <c r="LO4" s="146" t="s">
        <v>100</v>
      </c>
      <c r="LP4" s="115" t="s">
        <v>25</v>
      </c>
      <c r="LQ4" s="120" t="s">
        <v>122</v>
      </c>
      <c r="LR4" s="146" t="s">
        <v>100</v>
      </c>
      <c r="LS4" s="115" t="s">
        <v>25</v>
      </c>
      <c r="LT4" s="120" t="s">
        <v>122</v>
      </c>
      <c r="LU4" s="95"/>
      <c r="LV4" s="107"/>
      <c r="LW4" s="95"/>
      <c r="LX4" s="115"/>
      <c r="LY4" s="115" t="s">
        <v>128</v>
      </c>
      <c r="LZ4" s="115" t="s">
        <v>129</v>
      </c>
      <c r="MA4" s="95"/>
      <c r="MB4" s="107"/>
      <c r="MC4" s="95"/>
      <c r="MD4" s="96"/>
      <c r="ME4" s="97"/>
      <c r="MF4" s="163" t="s">
        <v>130</v>
      </c>
      <c r="MG4" s="163"/>
      <c r="MH4" s="165" t="s">
        <v>131</v>
      </c>
      <c r="MI4" s="163"/>
      <c r="MJ4" s="95"/>
      <c r="MK4" s="107"/>
      <c r="ML4" s="95"/>
      <c r="MM4" s="96"/>
      <c r="MN4" s="166"/>
      <c r="MO4" s="167" t="s">
        <v>132</v>
      </c>
      <c r="MP4" s="167" t="s">
        <v>133</v>
      </c>
      <c r="MQ4" s="164" t="s">
        <v>134</v>
      </c>
      <c r="MR4" s="164" t="s">
        <v>134</v>
      </c>
      <c r="MS4" s="95"/>
      <c r="MT4" s="107"/>
      <c r="MU4" s="95"/>
      <c r="MV4" s="168"/>
      <c r="MW4" s="168"/>
      <c r="MX4" s="168"/>
      <c r="MY4" s="168"/>
      <c r="MZ4" s="168"/>
      <c r="NA4" s="168"/>
      <c r="NB4" s="168"/>
      <c r="NC4" s="168"/>
      <c r="ND4" s="168"/>
      <c r="NE4" s="168"/>
      <c r="NF4" s="168"/>
      <c r="NG4" s="168"/>
      <c r="NH4" s="168"/>
      <c r="NI4" s="168"/>
      <c r="NJ4" s="168"/>
      <c r="NK4" s="168"/>
      <c r="NL4" s="168"/>
      <c r="NM4" s="168"/>
      <c r="NN4" s="168"/>
      <c r="NO4" s="168"/>
      <c r="NP4" s="168"/>
      <c r="NQ4" s="168"/>
      <c r="NR4" s="168"/>
      <c r="NS4" s="168"/>
      <c r="NT4" s="168"/>
      <c r="NU4" s="168"/>
      <c r="NV4" s="168"/>
      <c r="NW4" s="168"/>
      <c r="NX4" s="168"/>
      <c r="NY4" s="168"/>
      <c r="NZ4" s="168"/>
      <c r="OA4" s="168"/>
      <c r="OB4" s="168"/>
      <c r="OC4" s="168"/>
      <c r="OD4" s="168"/>
      <c r="OE4" s="168"/>
      <c r="OF4" s="168"/>
      <c r="OG4" s="168"/>
      <c r="OH4" s="168"/>
      <c r="OI4" s="168"/>
      <c r="OJ4" s="168"/>
      <c r="OK4" s="168"/>
      <c r="OL4" s="168"/>
      <c r="OM4" s="168"/>
      <c r="ON4" s="168"/>
      <c r="OO4" s="168"/>
      <c r="OP4" s="168"/>
      <c r="OQ4" s="168"/>
      <c r="OR4" s="168"/>
      <c r="OS4" s="168"/>
      <c r="OT4" s="168"/>
      <c r="OU4" s="168"/>
      <c r="OV4" s="168"/>
    </row>
    <row r="5" spans="1:412" s="179" customFormat="1" ht="15" customHeight="1" x14ac:dyDescent="0.3">
      <c r="A5" s="169"/>
      <c r="B5" s="170" t="s">
        <v>135</v>
      </c>
      <c r="C5" s="171"/>
      <c r="D5" s="172"/>
      <c r="E5" s="173"/>
      <c r="F5" s="174" t="s">
        <v>136</v>
      </c>
      <c r="G5" s="175" t="s">
        <v>137</v>
      </c>
      <c r="H5" s="176" t="s">
        <v>138</v>
      </c>
      <c r="I5" s="170" t="s">
        <v>139</v>
      </c>
      <c r="J5" s="175" t="s">
        <v>140</v>
      </c>
      <c r="K5" s="174" t="s">
        <v>141</v>
      </c>
      <c r="L5" s="177" t="s">
        <v>142</v>
      </c>
      <c r="M5" s="175" t="s">
        <v>143</v>
      </c>
      <c r="N5" s="174" t="s">
        <v>144</v>
      </c>
      <c r="O5" s="177" t="s">
        <v>145</v>
      </c>
      <c r="P5" s="175" t="s">
        <v>146</v>
      </c>
      <c r="Q5" s="178" t="s">
        <v>147</v>
      </c>
      <c r="R5" s="170" t="s">
        <v>148</v>
      </c>
      <c r="T5" s="180"/>
      <c r="U5" s="169"/>
      <c r="V5" s="181" t="s">
        <v>135</v>
      </c>
      <c r="W5" s="182" t="s">
        <v>136</v>
      </c>
      <c r="X5" s="181" t="s">
        <v>137</v>
      </c>
      <c r="Y5" s="183" t="s">
        <v>149</v>
      </c>
      <c r="Z5" s="181" t="s">
        <v>139</v>
      </c>
      <c r="AA5" s="181" t="s">
        <v>140</v>
      </c>
      <c r="AB5" s="158"/>
      <c r="AC5" s="184"/>
      <c r="AD5" s="180"/>
      <c r="AE5" s="169"/>
      <c r="AF5" s="181" t="s">
        <v>135</v>
      </c>
      <c r="AG5" s="182" t="s">
        <v>136</v>
      </c>
      <c r="AH5" s="181" t="s">
        <v>137</v>
      </c>
      <c r="AI5" s="183" t="s">
        <v>149</v>
      </c>
      <c r="AJ5" s="181" t="s">
        <v>139</v>
      </c>
      <c r="AK5" s="169"/>
      <c r="AL5" s="185"/>
      <c r="AM5" s="169"/>
      <c r="AN5" s="181" t="s">
        <v>135</v>
      </c>
      <c r="AO5" s="186"/>
      <c r="AP5" s="187"/>
      <c r="AQ5" s="187"/>
      <c r="AR5" s="188"/>
      <c r="AS5" s="181" t="s">
        <v>136</v>
      </c>
      <c r="AT5" s="181" t="s">
        <v>137</v>
      </c>
      <c r="AU5" s="181"/>
      <c r="AV5" s="181">
        <v>0</v>
      </c>
      <c r="AW5" s="181" t="s">
        <v>137</v>
      </c>
      <c r="AX5" s="181" t="s">
        <v>149</v>
      </c>
      <c r="AY5" s="181"/>
      <c r="AZ5" s="181" t="s">
        <v>139</v>
      </c>
      <c r="BA5" s="181" t="s">
        <v>140</v>
      </c>
      <c r="BB5" s="181" t="s">
        <v>141</v>
      </c>
      <c r="BC5" s="181"/>
      <c r="BD5" s="181" t="s">
        <v>142</v>
      </c>
      <c r="BE5" s="181" t="s">
        <v>143</v>
      </c>
      <c r="BF5" s="181" t="s">
        <v>144</v>
      </c>
      <c r="BG5" s="181"/>
      <c r="BH5" s="181" t="s">
        <v>145</v>
      </c>
      <c r="BI5" s="181" t="s">
        <v>146</v>
      </c>
      <c r="BJ5" s="181" t="s">
        <v>147</v>
      </c>
      <c r="BK5" s="181"/>
      <c r="BL5" s="181" t="s">
        <v>148</v>
      </c>
      <c r="BM5" s="181" t="s">
        <v>150</v>
      </c>
      <c r="BN5" s="181" t="s">
        <v>151</v>
      </c>
      <c r="BO5" s="181"/>
      <c r="BP5" s="181" t="s">
        <v>152</v>
      </c>
      <c r="BQ5" s="181" t="s">
        <v>153</v>
      </c>
      <c r="BR5" s="181" t="s">
        <v>154</v>
      </c>
      <c r="BS5" s="181"/>
      <c r="BT5" s="181" t="s">
        <v>155</v>
      </c>
      <c r="BU5" s="181" t="s">
        <v>156</v>
      </c>
      <c r="BV5" s="181" t="s">
        <v>157</v>
      </c>
      <c r="BW5" s="182" t="s">
        <v>136</v>
      </c>
      <c r="BX5" s="181" t="s">
        <v>137</v>
      </c>
      <c r="BY5" s="181" t="s">
        <v>138</v>
      </c>
      <c r="BZ5" s="182" t="s">
        <v>136</v>
      </c>
      <c r="CA5" s="181" t="s">
        <v>137</v>
      </c>
      <c r="CB5" s="181" t="s">
        <v>138</v>
      </c>
      <c r="CC5" s="181"/>
      <c r="CD5" s="181"/>
      <c r="CE5" s="181"/>
      <c r="CF5" s="189" t="s">
        <v>139</v>
      </c>
      <c r="CG5" s="181" t="s">
        <v>140</v>
      </c>
      <c r="CH5" s="181"/>
      <c r="CI5" s="189" t="s">
        <v>139</v>
      </c>
      <c r="CJ5" s="181" t="s">
        <v>140</v>
      </c>
      <c r="CK5" s="181" t="s">
        <v>141</v>
      </c>
      <c r="CL5" s="190" t="s">
        <v>142</v>
      </c>
      <c r="CM5" s="181" t="s">
        <v>143</v>
      </c>
      <c r="CN5" s="169"/>
      <c r="CO5" s="180"/>
      <c r="CP5" s="169"/>
      <c r="CQ5" s="181" t="s">
        <v>135</v>
      </c>
      <c r="CR5" s="191"/>
      <c r="CS5" s="181" t="s">
        <v>136</v>
      </c>
      <c r="CT5" s="181" t="s">
        <v>137</v>
      </c>
      <c r="CU5" s="181" t="s">
        <v>149</v>
      </c>
      <c r="CV5" s="192" t="s">
        <v>139</v>
      </c>
      <c r="CW5" s="181" t="s">
        <v>140</v>
      </c>
      <c r="CX5" s="181" t="s">
        <v>141</v>
      </c>
      <c r="CY5" s="181" t="s">
        <v>142</v>
      </c>
      <c r="CZ5" s="181" t="s">
        <v>143</v>
      </c>
      <c r="DA5" s="193"/>
      <c r="DB5" s="137"/>
      <c r="DC5" s="169"/>
      <c r="DD5" s="181" t="s">
        <v>135</v>
      </c>
      <c r="DE5" s="194"/>
      <c r="DF5" s="181" t="s">
        <v>136</v>
      </c>
      <c r="DG5" s="195" t="s">
        <v>137</v>
      </c>
      <c r="DH5" s="181" t="s">
        <v>149</v>
      </c>
      <c r="DI5" s="196" t="s">
        <v>139</v>
      </c>
      <c r="DJ5" s="196" t="s">
        <v>140</v>
      </c>
      <c r="DK5" s="169"/>
      <c r="DL5" s="137"/>
      <c r="DM5" s="169"/>
      <c r="DN5" s="181" t="s">
        <v>135</v>
      </c>
      <c r="DO5" s="194"/>
      <c r="DP5" s="181" t="s">
        <v>136</v>
      </c>
      <c r="DQ5" s="195" t="s">
        <v>137</v>
      </c>
      <c r="DR5" s="181" t="s">
        <v>149</v>
      </c>
      <c r="DS5" s="196" t="s">
        <v>139</v>
      </c>
      <c r="DT5" s="169"/>
      <c r="DU5" s="180"/>
      <c r="DV5" s="169"/>
      <c r="DW5" s="181" t="s">
        <v>135</v>
      </c>
      <c r="DX5" s="197"/>
      <c r="DY5" s="196" t="s">
        <v>136</v>
      </c>
      <c r="DZ5" s="196" t="s">
        <v>137</v>
      </c>
      <c r="EA5" s="196" t="s">
        <v>149</v>
      </c>
      <c r="EB5" s="196" t="s">
        <v>139</v>
      </c>
      <c r="EC5" s="198" t="s">
        <v>140</v>
      </c>
      <c r="ED5" s="196" t="s">
        <v>141</v>
      </c>
      <c r="EE5" s="196" t="s">
        <v>142</v>
      </c>
      <c r="EF5" s="196" t="s">
        <v>143</v>
      </c>
      <c r="EG5" s="169"/>
      <c r="EH5" s="180"/>
      <c r="EI5" s="169"/>
      <c r="EJ5" s="181" t="s">
        <v>135</v>
      </c>
      <c r="EK5" s="191"/>
      <c r="EL5" s="181" t="s">
        <v>136</v>
      </c>
      <c r="EM5" s="181" t="s">
        <v>137</v>
      </c>
      <c r="EN5" s="181" t="s">
        <v>149</v>
      </c>
      <c r="EO5" s="192" t="s">
        <v>139</v>
      </c>
      <c r="EP5" s="181" t="s">
        <v>140</v>
      </c>
      <c r="EQ5" s="181" t="s">
        <v>141</v>
      </c>
      <c r="ER5" s="181" t="s">
        <v>142</v>
      </c>
      <c r="ES5" s="181" t="s">
        <v>143</v>
      </c>
      <c r="ET5" s="199"/>
      <c r="EU5" s="200"/>
      <c r="EV5" s="169"/>
      <c r="EW5" s="181" t="s">
        <v>135</v>
      </c>
      <c r="EX5" s="191"/>
      <c r="EY5" s="181" t="s">
        <v>136</v>
      </c>
      <c r="EZ5" s="181" t="s">
        <v>137</v>
      </c>
      <c r="FA5" s="181" t="s">
        <v>149</v>
      </c>
      <c r="FB5" s="192" t="s">
        <v>139</v>
      </c>
      <c r="FC5" s="181" t="s">
        <v>140</v>
      </c>
      <c r="FD5" s="181" t="s">
        <v>141</v>
      </c>
      <c r="FE5" s="181" t="s">
        <v>142</v>
      </c>
      <c r="FF5" s="192" t="s">
        <v>143</v>
      </c>
      <c r="FG5" s="181" t="s">
        <v>144</v>
      </c>
      <c r="FH5" s="181" t="s">
        <v>145</v>
      </c>
      <c r="FI5" s="181" t="s">
        <v>146</v>
      </c>
      <c r="FJ5" s="199"/>
      <c r="FK5" s="200"/>
      <c r="FL5" s="169"/>
      <c r="FM5" s="181" t="s">
        <v>135</v>
      </c>
      <c r="FN5" s="187"/>
      <c r="FO5" s="201"/>
      <c r="FP5" s="181" t="s">
        <v>136</v>
      </c>
      <c r="FQ5" s="181" t="s">
        <v>137</v>
      </c>
      <c r="FR5" s="181" t="s">
        <v>149</v>
      </c>
      <c r="FS5" s="192" t="s">
        <v>139</v>
      </c>
      <c r="FT5" s="181" t="s">
        <v>140</v>
      </c>
      <c r="FU5" s="181" t="s">
        <v>141</v>
      </c>
      <c r="FV5" s="181" t="s">
        <v>142</v>
      </c>
      <c r="FW5" s="181" t="s">
        <v>143</v>
      </c>
      <c r="FX5" s="181" t="s">
        <v>144</v>
      </c>
      <c r="FY5" s="199"/>
      <c r="FZ5" s="137"/>
      <c r="GA5" s="169"/>
      <c r="GB5" s="181" t="s">
        <v>135</v>
      </c>
      <c r="GC5" s="202"/>
      <c r="GD5" s="181" t="s">
        <v>136</v>
      </c>
      <c r="GE5" s="181" t="s">
        <v>137</v>
      </c>
      <c r="GF5" s="181" t="s">
        <v>149</v>
      </c>
      <c r="GG5" s="192" t="s">
        <v>139</v>
      </c>
      <c r="GH5" s="181" t="s">
        <v>140</v>
      </c>
      <c r="GI5" s="181" t="s">
        <v>141</v>
      </c>
      <c r="GJ5" s="181" t="s">
        <v>142</v>
      </c>
      <c r="GK5" s="181" t="s">
        <v>143</v>
      </c>
      <c r="GL5" s="203"/>
      <c r="GM5" s="180"/>
      <c r="GN5" s="169"/>
      <c r="GO5" s="181" t="s">
        <v>135</v>
      </c>
      <c r="GP5" s="188"/>
      <c r="GQ5" s="181" t="s">
        <v>136</v>
      </c>
      <c r="GR5" s="181" t="s">
        <v>137</v>
      </c>
      <c r="GS5" s="181" t="s">
        <v>149</v>
      </c>
      <c r="GT5" s="192" t="s">
        <v>139</v>
      </c>
      <c r="GU5" s="181" t="s">
        <v>140</v>
      </c>
      <c r="GV5" s="181" t="s">
        <v>141</v>
      </c>
      <c r="GW5" s="181" t="s">
        <v>142</v>
      </c>
      <c r="GX5" s="181" t="s">
        <v>143</v>
      </c>
      <c r="GY5" s="169"/>
      <c r="GZ5" s="180"/>
      <c r="HA5" s="169"/>
      <c r="HB5" s="169"/>
      <c r="HC5" s="204" t="s">
        <v>158</v>
      </c>
      <c r="HD5" s="181" t="s">
        <v>136</v>
      </c>
      <c r="HE5" s="181" t="s">
        <v>137</v>
      </c>
      <c r="HF5" s="181" t="s">
        <v>149</v>
      </c>
      <c r="HG5" s="181" t="s">
        <v>139</v>
      </c>
      <c r="HH5" s="181" t="s">
        <v>140</v>
      </c>
      <c r="HI5" s="181" t="s">
        <v>141</v>
      </c>
      <c r="HJ5" s="181" t="s">
        <v>142</v>
      </c>
      <c r="HK5" s="181" t="s">
        <v>143</v>
      </c>
      <c r="HL5" s="181" t="s">
        <v>144</v>
      </c>
      <c r="HM5" s="181" t="s">
        <v>145</v>
      </c>
      <c r="HN5" s="158"/>
      <c r="HO5" s="83"/>
      <c r="HP5" s="158"/>
      <c r="HQ5" s="205" t="s">
        <v>135</v>
      </c>
      <c r="HR5" s="206" t="s">
        <v>136</v>
      </c>
      <c r="HS5" s="192" t="s">
        <v>137</v>
      </c>
      <c r="HT5" s="181" t="s">
        <v>149</v>
      </c>
      <c r="HU5" s="192" t="s">
        <v>139</v>
      </c>
      <c r="HV5" s="181" t="s">
        <v>140</v>
      </c>
      <c r="HW5" s="192" t="s">
        <v>141</v>
      </c>
      <c r="HX5" s="181" t="s">
        <v>142</v>
      </c>
      <c r="HY5" s="192" t="s">
        <v>143</v>
      </c>
      <c r="HZ5" s="181" t="s">
        <v>144</v>
      </c>
      <c r="IA5" s="181" t="s">
        <v>145</v>
      </c>
      <c r="IB5" s="181" t="s">
        <v>146</v>
      </c>
      <c r="IC5" s="181" t="s">
        <v>147</v>
      </c>
      <c r="ID5" s="158"/>
      <c r="IE5" s="159"/>
      <c r="IF5" s="158"/>
      <c r="IG5" s="207" t="s">
        <v>158</v>
      </c>
      <c r="IH5" s="208" t="s">
        <v>136</v>
      </c>
      <c r="II5" s="209" t="s">
        <v>137</v>
      </c>
      <c r="IJ5" s="208" t="s">
        <v>149</v>
      </c>
      <c r="IK5" s="210" t="s">
        <v>139</v>
      </c>
      <c r="IL5" s="209" t="s">
        <v>140</v>
      </c>
      <c r="IM5" s="210" t="s">
        <v>141</v>
      </c>
      <c r="IN5" s="209" t="s">
        <v>142</v>
      </c>
      <c r="IO5" s="210" t="s">
        <v>143</v>
      </c>
      <c r="IP5" s="209" t="s">
        <v>144</v>
      </c>
      <c r="IQ5" s="210" t="s">
        <v>145</v>
      </c>
      <c r="IR5" s="209" t="s">
        <v>146</v>
      </c>
      <c r="IS5" s="210" t="s">
        <v>147</v>
      </c>
      <c r="IT5" s="209" t="s">
        <v>148</v>
      </c>
      <c r="IU5" s="210" t="s">
        <v>150</v>
      </c>
      <c r="IV5" s="209" t="s">
        <v>151</v>
      </c>
      <c r="IW5" s="210" t="s">
        <v>152</v>
      </c>
      <c r="IX5" s="209" t="s">
        <v>153</v>
      </c>
      <c r="IY5" s="211" t="s">
        <v>159</v>
      </c>
      <c r="IZ5" s="209" t="s">
        <v>155</v>
      </c>
      <c r="JA5" s="210" t="s">
        <v>156</v>
      </c>
      <c r="JB5" s="210" t="s">
        <v>157</v>
      </c>
      <c r="JC5" s="210" t="s">
        <v>160</v>
      </c>
      <c r="JD5" s="158"/>
      <c r="JE5" s="159"/>
      <c r="JF5" s="16"/>
      <c r="JG5" s="204" t="s">
        <v>135</v>
      </c>
      <c r="JH5" s="181" t="s">
        <v>136</v>
      </c>
      <c r="JI5" s="181" t="s">
        <v>137</v>
      </c>
      <c r="JJ5" s="181" t="s">
        <v>161</v>
      </c>
      <c r="JK5" s="181" t="s">
        <v>139</v>
      </c>
      <c r="JL5" s="181" t="s">
        <v>162</v>
      </c>
      <c r="JM5" s="181" t="s">
        <v>141</v>
      </c>
      <c r="JN5" s="181" t="s">
        <v>142</v>
      </c>
      <c r="JO5" s="181" t="s">
        <v>143</v>
      </c>
      <c r="JP5" s="181" t="s">
        <v>144</v>
      </c>
      <c r="JQ5" s="158"/>
      <c r="JR5" s="159"/>
      <c r="JS5" s="86"/>
      <c r="JT5" s="204" t="s">
        <v>135</v>
      </c>
      <c r="JU5" s="181" t="str">
        <f>JH5</f>
        <v>(a)</v>
      </c>
      <c r="JV5" s="181" t="s">
        <v>137</v>
      </c>
      <c r="JW5" s="181" t="s">
        <v>161</v>
      </c>
      <c r="JX5" s="181" t="s">
        <v>139</v>
      </c>
      <c r="JY5" s="181" t="s">
        <v>162</v>
      </c>
      <c r="JZ5" s="181" t="s">
        <v>141</v>
      </c>
      <c r="KA5" s="181" t="s">
        <v>142</v>
      </c>
      <c r="KB5" s="181" t="s">
        <v>143</v>
      </c>
      <c r="KC5" s="181" t="s">
        <v>144</v>
      </c>
      <c r="KD5" s="181" t="s">
        <v>145</v>
      </c>
      <c r="KE5" s="181" t="s">
        <v>146</v>
      </c>
      <c r="KF5" s="181" t="s">
        <v>147</v>
      </c>
      <c r="KG5" s="181" t="s">
        <v>148</v>
      </c>
      <c r="KH5" s="86"/>
      <c r="KI5" s="89"/>
      <c r="KJ5" s="86"/>
      <c r="KK5" s="212" t="s">
        <v>135</v>
      </c>
      <c r="KL5" s="206" t="s">
        <v>136</v>
      </c>
      <c r="KM5" s="206" t="s">
        <v>137</v>
      </c>
      <c r="KN5" s="206" t="s">
        <v>161</v>
      </c>
      <c r="KO5" s="181" t="s">
        <v>139</v>
      </c>
      <c r="KP5" s="192" t="s">
        <v>162</v>
      </c>
      <c r="KQ5" s="181" t="s">
        <v>141</v>
      </c>
      <c r="KR5" s="192" t="s">
        <v>142</v>
      </c>
      <c r="KS5" s="181" t="s">
        <v>143</v>
      </c>
      <c r="KT5" s="192" t="s">
        <v>144</v>
      </c>
      <c r="KU5" s="192" t="s">
        <v>145</v>
      </c>
      <c r="KV5" s="192" t="s">
        <v>146</v>
      </c>
      <c r="KW5" s="181" t="s">
        <v>147</v>
      </c>
      <c r="KX5" s="192" t="s">
        <v>148</v>
      </c>
      <c r="KY5" s="181" t="s">
        <v>150</v>
      </c>
      <c r="KZ5" s="192" t="s">
        <v>151</v>
      </c>
      <c r="LA5" s="181" t="s">
        <v>152</v>
      </c>
      <c r="LB5" s="192" t="s">
        <v>153</v>
      </c>
      <c r="LC5" s="181" t="s">
        <v>154</v>
      </c>
      <c r="LD5" s="192" t="s">
        <v>163</v>
      </c>
      <c r="LE5" s="181" t="s">
        <v>156</v>
      </c>
      <c r="LF5" s="181" t="s">
        <v>157</v>
      </c>
      <c r="LG5" s="16"/>
      <c r="LH5" s="140"/>
      <c r="LJ5" s="204" t="s">
        <v>158</v>
      </c>
      <c r="LK5" s="192" t="s">
        <v>136</v>
      </c>
      <c r="LL5" s="181" t="s">
        <v>137</v>
      </c>
      <c r="LM5" s="181" t="s">
        <v>161</v>
      </c>
      <c r="LN5" s="192" t="s">
        <v>139</v>
      </c>
      <c r="LO5" s="181" t="s">
        <v>162</v>
      </c>
      <c r="LP5" s="181" t="s">
        <v>141</v>
      </c>
      <c r="LQ5" s="192" t="s">
        <v>142</v>
      </c>
      <c r="LR5" s="181" t="s">
        <v>143</v>
      </c>
      <c r="LS5" s="181" t="s">
        <v>144</v>
      </c>
      <c r="LT5" s="181" t="s">
        <v>145</v>
      </c>
      <c r="LU5" s="169"/>
      <c r="LV5" s="185"/>
      <c r="LX5" s="204" t="s">
        <v>135</v>
      </c>
      <c r="LY5" s="182" t="s">
        <v>136</v>
      </c>
      <c r="LZ5" s="181" t="s">
        <v>137</v>
      </c>
      <c r="MB5" s="185"/>
      <c r="MD5" s="213"/>
      <c r="ME5" s="213"/>
      <c r="MF5" s="214" t="s">
        <v>62</v>
      </c>
      <c r="MG5" s="215" t="s">
        <v>63</v>
      </c>
      <c r="MH5" s="217" t="s">
        <v>62</v>
      </c>
      <c r="MI5" s="215" t="s">
        <v>63</v>
      </c>
      <c r="MJ5" s="169"/>
      <c r="MK5" s="185"/>
      <c r="MM5" s="213"/>
      <c r="MN5" s="213"/>
      <c r="MO5" s="213"/>
      <c r="MP5" s="213"/>
      <c r="MQ5" s="218" t="s">
        <v>164</v>
      </c>
      <c r="MR5" s="218" t="s">
        <v>165</v>
      </c>
      <c r="MS5" s="169"/>
      <c r="MT5" s="185"/>
      <c r="MV5" s="219"/>
      <c r="MW5" s="219"/>
      <c r="MX5" s="219"/>
      <c r="MY5" s="219"/>
      <c r="MZ5" s="219"/>
      <c r="NA5" s="219"/>
      <c r="NB5" s="219"/>
      <c r="NC5" s="219"/>
      <c r="ND5" s="219"/>
      <c r="NE5" s="219"/>
      <c r="NF5" s="219"/>
      <c r="NG5" s="219"/>
      <c r="NH5" s="219"/>
      <c r="NI5" s="219"/>
      <c r="NJ5" s="219"/>
      <c r="NK5" s="219"/>
      <c r="NL5" s="219"/>
      <c r="NM5" s="219"/>
      <c r="NN5" s="219"/>
      <c r="NO5" s="219"/>
      <c r="NP5" s="219"/>
      <c r="NQ5" s="219"/>
      <c r="NR5" s="219"/>
      <c r="NS5" s="219"/>
      <c r="NT5" s="219"/>
      <c r="NU5" s="219"/>
      <c r="NV5" s="219"/>
      <c r="NW5" s="219"/>
      <c r="NX5" s="219"/>
      <c r="NY5" s="219"/>
      <c r="NZ5" s="219"/>
      <c r="OA5" s="219"/>
      <c r="OB5" s="219"/>
      <c r="OC5" s="219"/>
      <c r="OD5" s="219"/>
      <c r="OE5" s="219"/>
      <c r="OF5" s="219"/>
      <c r="OG5" s="219"/>
      <c r="OH5" s="219"/>
      <c r="OI5" s="219"/>
      <c r="OJ5" s="219"/>
      <c r="OK5" s="219"/>
      <c r="OL5" s="219"/>
      <c r="OM5" s="219"/>
      <c r="ON5" s="219"/>
      <c r="OO5" s="219"/>
      <c r="OP5" s="219"/>
      <c r="OQ5" s="219"/>
      <c r="OR5" s="219"/>
      <c r="OS5" s="219"/>
      <c r="OT5" s="219"/>
      <c r="OU5" s="219"/>
      <c r="OV5" s="219"/>
    </row>
    <row r="6" spans="1:412" s="35" customFormat="1" ht="15.95" customHeight="1" x14ac:dyDescent="0.3">
      <c r="B6" s="220">
        <v>1</v>
      </c>
      <c r="C6" s="221" t="s">
        <v>166</v>
      </c>
      <c r="D6" s="222"/>
      <c r="E6" s="223"/>
      <c r="F6" s="224"/>
      <c r="G6" s="225"/>
      <c r="H6" s="226"/>
      <c r="I6" s="227"/>
      <c r="J6" s="225"/>
      <c r="K6" s="224"/>
      <c r="L6" s="228"/>
      <c r="M6" s="225"/>
      <c r="N6" s="224"/>
      <c r="O6" s="228"/>
      <c r="P6" s="225"/>
      <c r="Q6" s="229"/>
      <c r="R6" s="227"/>
      <c r="S6" s="17"/>
      <c r="T6" s="18"/>
      <c r="U6" s="17"/>
      <c r="V6" s="230"/>
      <c r="W6" s="231" t="s">
        <v>23</v>
      </c>
      <c r="X6" s="232"/>
      <c r="Y6" s="233"/>
      <c r="Z6" s="233"/>
      <c r="AA6" s="233"/>
      <c r="AB6" s="234"/>
      <c r="AC6" s="235"/>
      <c r="AD6" s="18"/>
      <c r="AE6" s="17"/>
      <c r="AF6" s="12"/>
      <c r="AG6" s="236" t="s">
        <v>23</v>
      </c>
      <c r="AK6" s="17"/>
      <c r="AL6" s="18"/>
      <c r="AM6" s="17"/>
      <c r="AN6" s="237">
        <v>1</v>
      </c>
      <c r="AO6" s="238"/>
      <c r="AP6" s="239" t="s">
        <v>166</v>
      </c>
      <c r="AQ6" s="12"/>
      <c r="AR6" s="240"/>
      <c r="CF6" s="241"/>
      <c r="CL6" s="241"/>
      <c r="CN6" s="17"/>
      <c r="CO6" s="18"/>
      <c r="CP6" s="17"/>
      <c r="CQ6" s="237">
        <v>1</v>
      </c>
      <c r="CR6" s="242" t="s">
        <v>69</v>
      </c>
      <c r="CS6" s="243">
        <v>218590.28471212118</v>
      </c>
      <c r="CT6" s="244">
        <v>4302506.7047000006</v>
      </c>
      <c r="CU6" s="244">
        <v>610103.64599999983</v>
      </c>
      <c r="CV6" s="245">
        <f>CU6+CT6</f>
        <v>4912610.3507000003</v>
      </c>
      <c r="CW6" s="243">
        <v>226224.60137878783</v>
      </c>
      <c r="CX6" s="244">
        <v>4453803.3164333347</v>
      </c>
      <c r="CY6" s="244">
        <v>492106.09752174141</v>
      </c>
      <c r="CZ6" s="244">
        <f>CY6+CX6</f>
        <v>4945909.4139550757</v>
      </c>
      <c r="DA6" s="246"/>
      <c r="DB6" s="137"/>
      <c r="DC6" s="17"/>
      <c r="DD6" s="237">
        <v>1</v>
      </c>
      <c r="DE6" s="247" t="s">
        <v>69</v>
      </c>
      <c r="DF6" s="248">
        <v>28455.290000000005</v>
      </c>
      <c r="DG6" s="245">
        <v>567272.51069999987</v>
      </c>
      <c r="DH6" s="248">
        <v>28893.39</v>
      </c>
      <c r="DI6" s="244">
        <v>579171.30670000007</v>
      </c>
      <c r="DJ6" s="244">
        <v>455078.93099828612</v>
      </c>
      <c r="DK6" s="17"/>
      <c r="DL6" s="137"/>
      <c r="DM6" s="17"/>
      <c r="DN6" s="237">
        <v>1</v>
      </c>
      <c r="DO6" s="247" t="s">
        <v>69</v>
      </c>
      <c r="DP6" s="248">
        <v>110773.86150000003</v>
      </c>
      <c r="DQ6" s="245">
        <v>2694180.1026000008</v>
      </c>
      <c r="DR6" s="248">
        <v>112558.92150000001</v>
      </c>
      <c r="DS6" s="244">
        <v>2870996.0049449257</v>
      </c>
      <c r="DT6" s="17"/>
      <c r="DU6" s="18"/>
      <c r="DV6" s="17"/>
      <c r="DW6" s="237">
        <v>1</v>
      </c>
      <c r="DX6" s="249" t="s">
        <v>167</v>
      </c>
      <c r="DY6" s="250">
        <v>243519</v>
      </c>
      <c r="DZ6" s="250">
        <v>292950</v>
      </c>
      <c r="EA6" s="250">
        <v>411160</v>
      </c>
      <c r="EB6" s="250">
        <f>SUM(DY6:EA6)</f>
        <v>947629</v>
      </c>
      <c r="EC6" s="251">
        <v>230587</v>
      </c>
      <c r="ED6" s="250">
        <v>285654</v>
      </c>
      <c r="EE6" s="250">
        <v>380177</v>
      </c>
      <c r="EF6" s="250">
        <v>896418</v>
      </c>
      <c r="EG6" s="17"/>
      <c r="EH6" s="18"/>
      <c r="EI6" s="17"/>
      <c r="EJ6" s="237">
        <v>1</v>
      </c>
      <c r="EK6" s="240" t="s">
        <v>168</v>
      </c>
      <c r="EL6" s="244">
        <v>210926.82500000001</v>
      </c>
      <c r="EM6" s="244">
        <v>231846.94500000004</v>
      </c>
      <c r="EN6" s="244">
        <v>342558.05500000005</v>
      </c>
      <c r="EO6" s="245">
        <f>SUM(EL6:EN6)</f>
        <v>785331.82500000007</v>
      </c>
      <c r="EP6" s="244">
        <v>211838.37404318264</v>
      </c>
      <c r="EQ6" s="244">
        <v>231846.75500000003</v>
      </c>
      <c r="ER6" s="244">
        <v>342558.44499999995</v>
      </c>
      <c r="ES6" s="244">
        <f>SUM(EP6:ER6)</f>
        <v>786243.57404318266</v>
      </c>
      <c r="ET6" s="21"/>
      <c r="EU6" s="140"/>
      <c r="EV6" s="17"/>
      <c r="EW6" s="237">
        <v>1</v>
      </c>
      <c r="EX6" s="240" t="s">
        <v>168</v>
      </c>
      <c r="EY6" s="244">
        <v>219734.80599999995</v>
      </c>
      <c r="EZ6" s="244">
        <v>250895.25999999998</v>
      </c>
      <c r="FA6" s="244">
        <v>159814.32199999999</v>
      </c>
      <c r="FB6" s="245">
        <f>SUM(EY6:FA6)</f>
        <v>630444.38799999992</v>
      </c>
      <c r="FC6" s="244">
        <v>219902.16764496636</v>
      </c>
      <c r="FD6" s="244">
        <v>138620.299</v>
      </c>
      <c r="FE6" s="244">
        <v>229901.47399999996</v>
      </c>
      <c r="FF6" s="245">
        <f>SUM(FC6:FE6)</f>
        <v>588423.94064496632</v>
      </c>
      <c r="FG6" s="244">
        <f t="shared" ref="FG6:FG7" si="0">(FF6/$FF$9)*$FG$9</f>
        <v>362471.94417035003</v>
      </c>
      <c r="FH6" s="244">
        <f>(FF6/$FF$9)*$FH$9</f>
        <v>177539.97025882328</v>
      </c>
      <c r="FI6" s="244">
        <f>SUM(FG6:FH6)</f>
        <v>540011.91442917334</v>
      </c>
      <c r="FJ6" s="21"/>
      <c r="FK6" s="140"/>
      <c r="FL6" s="17"/>
      <c r="FM6" s="237">
        <v>1</v>
      </c>
      <c r="FN6" s="239" t="s">
        <v>169</v>
      </c>
      <c r="FO6" s="252"/>
      <c r="FP6" s="253"/>
      <c r="FQ6" s="253"/>
      <c r="FR6" s="253"/>
      <c r="FS6" s="254"/>
      <c r="FT6" s="253"/>
      <c r="FU6" s="253"/>
      <c r="FV6" s="253"/>
      <c r="FW6" s="253"/>
      <c r="FX6" s="253"/>
      <c r="FY6" s="21"/>
      <c r="FZ6" s="140"/>
      <c r="GA6" s="17"/>
      <c r="GB6" s="237">
        <v>1</v>
      </c>
      <c r="GC6" s="240" t="s">
        <v>170</v>
      </c>
      <c r="GD6" s="244">
        <v>975</v>
      </c>
      <c r="GE6" s="244">
        <v>4838.8599999999997</v>
      </c>
      <c r="GF6" s="244">
        <v>3065.02</v>
      </c>
      <c r="GG6" s="245">
        <f t="shared" ref="GG6:GG12" si="1">SUM(GD6:GF6)</f>
        <v>8878.8799999999992</v>
      </c>
      <c r="GH6" s="244">
        <v>1170</v>
      </c>
      <c r="GI6" s="244">
        <v>4838.8599999999997</v>
      </c>
      <c r="GJ6" s="244">
        <v>3065.02</v>
      </c>
      <c r="GK6" s="244">
        <f>SUM(GH6:GJ6)</f>
        <v>9073.8799999999992</v>
      </c>
      <c r="GL6" s="255"/>
      <c r="GM6" s="256"/>
      <c r="GN6" s="17"/>
      <c r="GO6" s="237">
        <v>1</v>
      </c>
      <c r="GP6" s="257" t="s">
        <v>171</v>
      </c>
      <c r="GQ6" s="258">
        <v>271488265</v>
      </c>
      <c r="GR6" s="258">
        <v>607201162</v>
      </c>
      <c r="GS6" s="258">
        <v>1222438391</v>
      </c>
      <c r="GT6" s="259">
        <f>SUM(GQ6:GS6)</f>
        <v>2101127818</v>
      </c>
      <c r="GU6" s="250">
        <v>275211058.53333336</v>
      </c>
      <c r="GV6" s="250">
        <v>607201162</v>
      </c>
      <c r="GW6" s="250">
        <v>1227908494</v>
      </c>
      <c r="GX6" s="250">
        <f>SUM(GU6:GW6)</f>
        <v>2110320714.5333333</v>
      </c>
      <c r="GY6" s="260"/>
      <c r="GZ6" s="18"/>
      <c r="HA6" s="17"/>
      <c r="HB6" s="17"/>
      <c r="HC6" s="237">
        <v>1</v>
      </c>
      <c r="HD6" s="261">
        <v>1</v>
      </c>
      <c r="HE6" s="261">
        <v>10</v>
      </c>
      <c r="HF6" s="261">
        <v>18</v>
      </c>
      <c r="HG6" s="262">
        <v>11051447.333333334</v>
      </c>
      <c r="HH6" s="263">
        <v>13321074</v>
      </c>
      <c r="HI6" s="264">
        <f t="shared" ref="HI6:HI26" si="2">HF6/HE6</f>
        <v>1.8</v>
      </c>
      <c r="HJ6" s="264">
        <f t="shared" ref="HJ6:HJ26" si="3">HH6/HG6</f>
        <v>1.2053691790957577</v>
      </c>
      <c r="HK6" s="265">
        <v>1</v>
      </c>
      <c r="HL6" s="265">
        <v>0</v>
      </c>
      <c r="HM6" s="265">
        <v>0</v>
      </c>
      <c r="HN6" s="17"/>
      <c r="HO6" s="89"/>
      <c r="HP6" s="17"/>
      <c r="HQ6" s="266">
        <v>1</v>
      </c>
      <c r="HR6" s="267">
        <v>1</v>
      </c>
      <c r="HS6" s="268">
        <f t="shared" ref="HS6:HS26" si="4">HJ6</f>
        <v>1.2053691790957577</v>
      </c>
      <c r="HT6" s="244">
        <v>14713.38</v>
      </c>
      <c r="HU6" s="245">
        <f>HS6*HT6</f>
        <v>17735.05477232394</v>
      </c>
      <c r="HV6" s="244">
        <v>1248843</v>
      </c>
      <c r="HW6" s="245">
        <v>1445527</v>
      </c>
      <c r="HX6" s="244">
        <v>423688.48848473828</v>
      </c>
      <c r="HY6" s="245">
        <v>656401</v>
      </c>
      <c r="HZ6" s="244">
        <v>163617.05911526163</v>
      </c>
      <c r="IA6" s="244">
        <v>197218.96023182495</v>
      </c>
      <c r="IB6" s="244">
        <f>SUM(HT6,HX6,HZ6)</f>
        <v>602018.92759999994</v>
      </c>
      <c r="IC6" s="244">
        <f>SUM(HU6,HY6,IA6)</f>
        <v>871355.01500414894</v>
      </c>
      <c r="ID6" s="269"/>
      <c r="IE6" s="270"/>
      <c r="IF6" s="269"/>
      <c r="IG6" s="271">
        <v>1</v>
      </c>
      <c r="IH6" s="272">
        <v>1</v>
      </c>
      <c r="II6" s="273">
        <f t="shared" ref="II6:IJ25" si="5">HI6</f>
        <v>1.8</v>
      </c>
      <c r="IJ6" s="274">
        <f t="shared" si="5"/>
        <v>1.2053691790957577</v>
      </c>
      <c r="IK6" s="244">
        <v>328921.61337033473</v>
      </c>
      <c r="IL6" s="245">
        <f>IK6*$IJ6</f>
        <v>396471.97509505256</v>
      </c>
      <c r="IM6" s="244">
        <v>2737.5544996481731</v>
      </c>
      <c r="IN6" s="245">
        <f>IM6*$IJ6</f>
        <v>3299.7638199708163</v>
      </c>
      <c r="IO6" s="244">
        <v>135798.75702966523</v>
      </c>
      <c r="IP6" s="245">
        <f>IO6*II6</f>
        <v>244437.76265339743</v>
      </c>
      <c r="IQ6" s="244">
        <v>378464.8</v>
      </c>
      <c r="IR6" s="245">
        <v>768816.15</v>
      </c>
      <c r="IS6" s="244">
        <v>12358.143800157381</v>
      </c>
      <c r="IT6" s="245">
        <f>IS6*$IJ6</f>
        <v>14896.125647543029</v>
      </c>
      <c r="IU6" s="244">
        <v>27674.596866666678</v>
      </c>
      <c r="IV6" s="245">
        <f>IU6*$IJ6</f>
        <v>33358.106106980042</v>
      </c>
      <c r="IW6" s="244">
        <v>4657.91</v>
      </c>
      <c r="IX6" s="245">
        <f>IW6*$IJ6</f>
        <v>5614.5011530019201</v>
      </c>
      <c r="IY6" s="244">
        <v>127849.12188818456</v>
      </c>
      <c r="IZ6" s="245">
        <f>IY6*$IJ6</f>
        <v>154105.39109847447</v>
      </c>
      <c r="JA6" s="244">
        <f>IK6+IM6+IO6+IQ6+IS6+IW6+IY6+IU6</f>
        <v>1018462.4974546568</v>
      </c>
      <c r="JB6" s="244">
        <f>IL6+IN6+IP6+IR6+IT6+IX6+IZ6+IV6</f>
        <v>1620999.7755744201</v>
      </c>
      <c r="JC6" s="275">
        <f t="shared" ref="JC6:JC26" si="6">JB6/HH6*100</f>
        <v>12.168686815901031</v>
      </c>
      <c r="JD6" s="17"/>
      <c r="JE6" s="18"/>
      <c r="JF6" s="17"/>
      <c r="JG6" s="237">
        <v>1</v>
      </c>
      <c r="JH6" s="261">
        <v>1</v>
      </c>
      <c r="JI6" s="35">
        <f t="shared" ref="JI6:JI25" si="7">HF6</f>
        <v>18</v>
      </c>
      <c r="JJ6" s="276">
        <v>17</v>
      </c>
      <c r="JK6" s="243">
        <f t="shared" ref="JK6:JK25" si="8">HH6</f>
        <v>13321074</v>
      </c>
      <c r="JL6" s="243">
        <f t="shared" ref="JL6:JL25" si="9">JK6*$JN$26</f>
        <v>13254874.547078026</v>
      </c>
      <c r="JM6" s="277">
        <f>JJ6/JI6</f>
        <v>0.94444444444444442</v>
      </c>
      <c r="JN6" s="277">
        <f>JL6/JK6</f>
        <v>0.99503047179814674</v>
      </c>
      <c r="JO6" s="277">
        <f>LF7/LE7</f>
        <v>0.98987261005024441</v>
      </c>
      <c r="JP6" s="261" t="s">
        <v>403</v>
      </c>
      <c r="JQ6" s="278"/>
      <c r="JR6" s="279"/>
      <c r="JS6" s="278"/>
      <c r="JT6" s="237">
        <v>1</v>
      </c>
      <c r="JU6" s="261">
        <v>1</v>
      </c>
      <c r="JV6" s="280" t="str">
        <f t="shared" ref="JV6:JV25" si="10">JP6</f>
        <v>Q4</v>
      </c>
      <c r="JW6" s="281">
        <f t="shared" ref="JW6:JW26" si="11">JO6</f>
        <v>0.98987261005024441</v>
      </c>
      <c r="JX6" s="244">
        <f>HU6</f>
        <v>17735.05477232394</v>
      </c>
      <c r="JY6" s="244">
        <f>JX6*JO6</f>
        <v>17555.444956864339</v>
      </c>
      <c r="JZ6" s="244">
        <f t="shared" ref="JZ6:JZ26" si="12">HW6</f>
        <v>1445527</v>
      </c>
      <c r="KA6" s="244">
        <f>HH6/$HH$26*$KA$26</f>
        <v>1460618.4972561474</v>
      </c>
      <c r="KB6" s="244">
        <f t="shared" ref="KB6:KB25" si="13">HY6</f>
        <v>656401</v>
      </c>
      <c r="KC6" s="244">
        <f t="shared" ref="KC6:KC25" si="14">HH6/$HH$26*$KC$26</f>
        <v>748227.73336511524</v>
      </c>
      <c r="KD6" s="244">
        <f>IA6</f>
        <v>197218.96023182495</v>
      </c>
      <c r="KE6" s="244">
        <f>HH6/$HH$26*$KE$26</f>
        <v>28092.348486046925</v>
      </c>
      <c r="KF6" s="244">
        <f>SUM(JX6,KB6,KD6)</f>
        <v>871355.01500414894</v>
      </c>
      <c r="KG6" s="244">
        <f>SUM(JY6,KC6,KE6)</f>
        <v>793875.52680802648</v>
      </c>
      <c r="KH6" s="282"/>
      <c r="KI6" s="279"/>
      <c r="KJ6" s="278"/>
      <c r="KK6" s="283">
        <v>1</v>
      </c>
      <c r="KL6" s="284"/>
      <c r="KM6" s="284"/>
      <c r="KN6" s="285" t="s">
        <v>172</v>
      </c>
      <c r="KO6" s="286"/>
      <c r="KP6" s="287">
        <v>1.7538449199999999</v>
      </c>
      <c r="KQ6" s="288"/>
      <c r="KR6" s="287">
        <v>1.7538449199999999</v>
      </c>
      <c r="KS6" s="288"/>
      <c r="KT6" s="287">
        <v>1.7538449199999999</v>
      </c>
      <c r="KU6" s="288"/>
      <c r="KV6" s="287">
        <v>1.7538449199999999</v>
      </c>
      <c r="KW6" s="288"/>
      <c r="KX6" s="287">
        <v>1.7538449199999999</v>
      </c>
      <c r="KY6" s="288"/>
      <c r="KZ6" s="287">
        <v>1.7538449199999999</v>
      </c>
      <c r="LA6" s="288"/>
      <c r="LB6" s="287">
        <v>1.7538449199999999</v>
      </c>
      <c r="LC6" s="288"/>
      <c r="LD6" s="287">
        <v>1.7538449199999999</v>
      </c>
      <c r="LE6" s="286"/>
      <c r="LF6" s="289"/>
      <c r="LG6" s="290"/>
      <c r="LH6" s="291"/>
      <c r="LI6" s="17"/>
      <c r="LJ6" s="237">
        <v>1</v>
      </c>
      <c r="LK6" s="292">
        <v>1</v>
      </c>
      <c r="LL6" s="244">
        <f t="shared" ref="LL6:LM25" si="15">IB6</f>
        <v>602018.92759999994</v>
      </c>
      <c r="LM6" s="244">
        <f t="shared" si="15"/>
        <v>871355.01500414894</v>
      </c>
      <c r="LN6" s="245">
        <f t="shared" ref="LN6:LN25" si="16">KG6</f>
        <v>793875.52680802648</v>
      </c>
      <c r="LO6" s="244">
        <f t="shared" ref="LO6:LP25" si="17">JA6</f>
        <v>1018462.4974546568</v>
      </c>
      <c r="LP6" s="244">
        <f t="shared" si="17"/>
        <v>1620999.7755744201</v>
      </c>
      <c r="LQ6" s="245">
        <f>LF7</f>
        <v>1604583.2787387117</v>
      </c>
      <c r="LR6" s="244">
        <f>LL6-LO6</f>
        <v>-416443.56985465682</v>
      </c>
      <c r="LS6" s="244">
        <f>LM6-LP6</f>
        <v>-749644.76057027117</v>
      </c>
      <c r="LT6" s="244">
        <f>LN6-LQ6</f>
        <v>-810707.75193068525</v>
      </c>
      <c r="LU6" s="17"/>
      <c r="LV6" s="293"/>
      <c r="LW6" s="13"/>
      <c r="LX6" s="237">
        <v>1</v>
      </c>
      <c r="LY6" s="239" t="s">
        <v>173</v>
      </c>
      <c r="LZ6" s="220"/>
      <c r="MA6" s="13"/>
      <c r="MB6" s="293"/>
      <c r="MC6" s="13"/>
      <c r="MD6" s="294" t="s">
        <v>135</v>
      </c>
      <c r="ME6" s="294"/>
      <c r="MF6" s="182" t="s">
        <v>136</v>
      </c>
      <c r="MG6" s="181" t="s">
        <v>137</v>
      </c>
      <c r="MH6" s="189" t="s">
        <v>138</v>
      </c>
      <c r="MI6" s="181" t="s">
        <v>139</v>
      </c>
      <c r="MJ6" s="17"/>
      <c r="MK6" s="293"/>
      <c r="ML6" s="13"/>
      <c r="MM6" s="294" t="s">
        <v>135</v>
      </c>
      <c r="MN6" s="42"/>
      <c r="MO6" s="23"/>
      <c r="MP6" s="17"/>
      <c r="MQ6" s="17"/>
      <c r="MR6" s="17"/>
      <c r="MS6" s="17"/>
      <c r="MT6" s="293"/>
      <c r="MU6" s="13"/>
    </row>
    <row r="7" spans="1:412" x14ac:dyDescent="0.3">
      <c r="B7" s="181">
        <f>B6+1</f>
        <v>2</v>
      </c>
      <c r="C7" s="295"/>
      <c r="D7" s="17" t="s">
        <v>166</v>
      </c>
      <c r="E7" s="296"/>
      <c r="F7" s="297">
        <f>GT7-F10-F11</f>
        <v>348641398.3204</v>
      </c>
      <c r="G7" s="298">
        <f t="shared" ref="G7:G12" si="18">F7/F$24*100</f>
        <v>16.593059943029129</v>
      </c>
      <c r="H7" s="297">
        <f>GX7-H10-H11</f>
        <v>350452705.03120118</v>
      </c>
      <c r="I7" s="299">
        <f t="shared" ref="I7:I12" si="19">H7/H$24*100</f>
        <v>16.606608778358066</v>
      </c>
      <c r="J7" s="300">
        <f>H7-F7</f>
        <v>1811306.7108011842</v>
      </c>
      <c r="K7" s="297">
        <f>K8+K9</f>
        <v>365779088</v>
      </c>
      <c r="L7" s="299">
        <f t="shared" ref="L7:L12" si="20">K7/K$24*100</f>
        <v>16.279308077621476</v>
      </c>
      <c r="M7" s="300">
        <f>K7-H7</f>
        <v>15326382.968798816</v>
      </c>
      <c r="N7" s="297">
        <f>N8+N9</f>
        <v>372571107.89634001</v>
      </c>
      <c r="O7" s="299">
        <f t="shared" ref="O7:O12" si="21">N7/N$24*100</f>
        <v>16.664406915176667</v>
      </c>
      <c r="P7" s="300">
        <f>N7-K7</f>
        <v>6792019.8963400126</v>
      </c>
      <c r="Q7" s="297">
        <f>N7-F7</f>
        <v>23929709.575940013</v>
      </c>
      <c r="R7" s="301">
        <f>O7/G7-1</f>
        <v>4.2998080156704255E-3</v>
      </c>
      <c r="V7" s="204">
        <f>V6+1</f>
        <v>1</v>
      </c>
      <c r="W7" s="302" t="s">
        <v>174</v>
      </c>
      <c r="X7" s="303">
        <v>-456139.0370125008</v>
      </c>
      <c r="Y7" s="303">
        <v>3724956.5987772513</v>
      </c>
      <c r="Z7" s="303">
        <v>10832580.587112285</v>
      </c>
      <c r="AA7" s="303">
        <f>SUM(X7:Z7)</f>
        <v>14101398.148877036</v>
      </c>
      <c r="AB7" s="303"/>
      <c r="AF7" s="204">
        <v>1</v>
      </c>
      <c r="AG7" s="304" t="s">
        <v>78</v>
      </c>
      <c r="AH7" s="24">
        <f>CS9</f>
        <v>1830067.4046912384</v>
      </c>
      <c r="AI7" s="24">
        <f>DF9</f>
        <v>128460.41571007478</v>
      </c>
      <c r="AJ7" s="305">
        <f>DP9</f>
        <v>559175.86967116687</v>
      </c>
      <c r="AN7" s="294">
        <v>2</v>
      </c>
      <c r="AO7" s="23"/>
      <c r="AQ7" s="17" t="s">
        <v>166</v>
      </c>
      <c r="AR7" s="296"/>
      <c r="AS7" s="306">
        <v>120302111.8284</v>
      </c>
      <c r="AT7" s="307">
        <v>11.731293175407233</v>
      </c>
      <c r="AU7" s="308"/>
      <c r="AV7" s="306">
        <v>126126278.56186666</v>
      </c>
      <c r="AW7" s="307">
        <v>11.687249674641077</v>
      </c>
      <c r="AX7" s="309">
        <f>AW7/AT7-1</f>
        <v>-3.754360248918287E-3</v>
      </c>
      <c r="AY7" s="308"/>
      <c r="AZ7" s="306">
        <v>150728360.25</v>
      </c>
      <c r="BA7" s="307">
        <v>11.683129983994691</v>
      </c>
      <c r="BB7" s="309">
        <f>BA7/AW7-1</f>
        <v>-3.5249445002660806E-4</v>
      </c>
      <c r="BC7" s="308"/>
      <c r="BD7" s="306">
        <v>171227908</v>
      </c>
      <c r="BE7" s="307">
        <v>11.643318740549148</v>
      </c>
      <c r="BF7" s="309">
        <f>BE7/BA7-1</f>
        <v>-3.407583712590978E-3</v>
      </c>
      <c r="BG7" s="308"/>
      <c r="BH7" s="306">
        <v>176109569.11769998</v>
      </c>
      <c r="BI7" s="307">
        <v>11.588889837145976</v>
      </c>
      <c r="BJ7" s="309">
        <f>BI7/BE7-1</f>
        <v>-4.6746898041721829E-3</v>
      </c>
      <c r="BK7" s="308"/>
      <c r="BL7" s="306">
        <v>240705114.20000002</v>
      </c>
      <c r="BM7" s="307">
        <v>14.309535452395124</v>
      </c>
      <c r="BN7" s="309">
        <f>BM7/BI7-1</f>
        <v>0.23476326494438138</v>
      </c>
      <c r="BO7" s="308"/>
      <c r="BP7" s="306">
        <v>290609169.1400001</v>
      </c>
      <c r="BQ7" s="307">
        <v>15.66802926667919</v>
      </c>
      <c r="BR7" s="309">
        <f>BQ7/BM7-1</f>
        <v>9.4936262522532289E-2</v>
      </c>
      <c r="BS7" s="308"/>
      <c r="BT7" s="17">
        <v>313797305.58539999</v>
      </c>
      <c r="BU7" s="17">
        <v>15.993295780429609</v>
      </c>
      <c r="BV7" s="17">
        <f>BU7/BQ7-1</f>
        <v>2.0759886786920534E-2</v>
      </c>
      <c r="BW7" s="310">
        <v>311488574.40979999</v>
      </c>
      <c r="BX7" s="311">
        <v>16.091667659507319</v>
      </c>
      <c r="BY7" s="312">
        <f>BX7/BU7-1</f>
        <v>6.15081972022824E-3</v>
      </c>
      <c r="BZ7" s="312">
        <v>328676461.76159996</v>
      </c>
      <c r="CA7" s="312">
        <v>16.112403825565277</v>
      </c>
      <c r="CB7" s="312">
        <f>CA7/BX7-1</f>
        <v>1.2886275367305355E-3</v>
      </c>
      <c r="CC7" s="312">
        <v>326375296.65850008</v>
      </c>
      <c r="CD7" s="312">
        <v>15.703284067284784</v>
      </c>
      <c r="CE7" s="313">
        <f>CD7/CA7-1</f>
        <v>-2.5391602811701497E-2</v>
      </c>
      <c r="CF7" s="297">
        <v>336825698.93769997</v>
      </c>
      <c r="CG7" s="312">
        <v>16.189074473213005</v>
      </c>
      <c r="CH7" s="313">
        <f>CG7/CD7-1</f>
        <v>3.0935593080194224E-2</v>
      </c>
      <c r="CI7" s="297">
        <f>F7</f>
        <v>348641398.3204</v>
      </c>
      <c r="CJ7" s="312">
        <f>G7</f>
        <v>16.593059943029129</v>
      </c>
      <c r="CK7" s="313">
        <f>CJ7/CG7-1</f>
        <v>2.4954204175450023E-2</v>
      </c>
      <c r="CL7" s="314">
        <f>CI7/AS7-1</f>
        <v>1.8980488623317369</v>
      </c>
      <c r="CM7" s="313">
        <f>(CL7+1)^(1/(2023-2004))-1</f>
        <v>5.759978248364872E-2</v>
      </c>
      <c r="CQ7" s="294">
        <v>2</v>
      </c>
      <c r="CR7" s="315" t="s">
        <v>70</v>
      </c>
      <c r="CS7" s="316">
        <v>529589.40201135306</v>
      </c>
      <c r="CT7" s="303">
        <v>9901211.0850000028</v>
      </c>
      <c r="CU7" s="303">
        <v>1672166.6469999999</v>
      </c>
      <c r="CV7" s="300">
        <f>CU7+CT7</f>
        <v>11573377.732000003</v>
      </c>
      <c r="CW7" s="316">
        <v>529589.40201135306</v>
      </c>
      <c r="CX7" s="303">
        <v>9901211.084999999</v>
      </c>
      <c r="CY7" s="303">
        <v>1273854.6606978863</v>
      </c>
      <c r="CZ7" s="303">
        <f>CY7+CX7</f>
        <v>11175065.745697886</v>
      </c>
      <c r="DA7" s="246"/>
      <c r="DB7" s="25"/>
      <c r="DD7" s="294">
        <v>2</v>
      </c>
      <c r="DE7" s="317" t="s">
        <v>70</v>
      </c>
      <c r="DF7" s="24">
        <v>39737.955318205924</v>
      </c>
      <c r="DG7" s="318">
        <v>832474.23800000024</v>
      </c>
      <c r="DH7" s="24">
        <v>39737.955318205917</v>
      </c>
      <c r="DI7" s="303">
        <v>832474.2379999999</v>
      </c>
      <c r="DJ7" s="303">
        <v>654109.55606764171</v>
      </c>
      <c r="DL7" s="25"/>
      <c r="DN7" s="294">
        <v>2</v>
      </c>
      <c r="DO7" s="317" t="s">
        <v>70</v>
      </c>
      <c r="DP7" s="24">
        <v>192549.88935714285</v>
      </c>
      <c r="DQ7" s="318">
        <v>5524745.7130000005</v>
      </c>
      <c r="DR7" s="24">
        <v>192549.88935714285</v>
      </c>
      <c r="DS7" s="319">
        <v>5923057.6993021164</v>
      </c>
      <c r="DW7" s="294">
        <v>2</v>
      </c>
      <c r="DX7" s="320" t="s">
        <v>175</v>
      </c>
      <c r="DY7" s="303">
        <v>266920.19</v>
      </c>
      <c r="DZ7" s="303">
        <v>267351.44299999997</v>
      </c>
      <c r="EA7" s="303">
        <v>326391.17</v>
      </c>
      <c r="EB7" s="303">
        <v>860662.80299999984</v>
      </c>
      <c r="EC7" s="297"/>
      <c r="ED7" s="303"/>
      <c r="EE7" s="303"/>
      <c r="EF7" s="303"/>
      <c r="EJ7" s="294">
        <v>2</v>
      </c>
      <c r="EK7" s="296" t="s">
        <v>176</v>
      </c>
      <c r="EL7" s="303">
        <v>179351.114</v>
      </c>
      <c r="EM7" s="303">
        <v>1016780.1000000001</v>
      </c>
      <c r="EN7" s="303">
        <v>3927709.4879999985</v>
      </c>
      <c r="EO7" s="300">
        <f>SUM(EL7:EN7)</f>
        <v>5123840.7019999987</v>
      </c>
      <c r="EP7" s="303">
        <v>179351.114</v>
      </c>
      <c r="EQ7" s="303">
        <v>1016780.1000000001</v>
      </c>
      <c r="ER7" s="303">
        <v>3937203.1546666655</v>
      </c>
      <c r="ES7" s="303">
        <f>SUM(EP7:ER7)</f>
        <v>5133334.3686666656</v>
      </c>
      <c r="ET7" s="21"/>
      <c r="EU7" s="25"/>
      <c r="EW7" s="294">
        <v>2</v>
      </c>
      <c r="EX7" s="296" t="s">
        <v>176</v>
      </c>
      <c r="EY7" s="303">
        <v>39997.439999999995</v>
      </c>
      <c r="EZ7" s="303">
        <v>153955.44</v>
      </c>
      <c r="FA7" s="303">
        <v>687939.62000000011</v>
      </c>
      <c r="FB7" s="300">
        <f>SUM(EY7:FA7)</f>
        <v>881892.50000000012</v>
      </c>
      <c r="FC7" s="303">
        <v>24771.892000000007</v>
      </c>
      <c r="FD7" s="303">
        <v>146710.14999999997</v>
      </c>
      <c r="FE7" s="303">
        <v>679548.74145833333</v>
      </c>
      <c r="FF7" s="300">
        <f>SUM(FC7:FE7)</f>
        <v>851030.78345833323</v>
      </c>
      <c r="FG7" s="303">
        <f t="shared" si="0"/>
        <v>524239.00749320583</v>
      </c>
      <c r="FH7" s="303">
        <f>(FF7/$FF$9)*$FH$9</f>
        <v>256774.0187778984</v>
      </c>
      <c r="FI7" s="303">
        <f t="shared" ref="FI7:FI9" si="22">SUM(FG7:FH7)</f>
        <v>781013.02627110423</v>
      </c>
      <c r="FJ7" s="21"/>
      <c r="FK7" s="25"/>
      <c r="FM7" s="294">
        <v>2</v>
      </c>
      <c r="FN7" s="321"/>
      <c r="FO7" s="322" t="s">
        <v>177</v>
      </c>
      <c r="FP7" s="303">
        <v>175426.73</v>
      </c>
      <c r="FQ7" s="303">
        <v>279487.5</v>
      </c>
      <c r="FR7" s="303">
        <v>576846.07880000002</v>
      </c>
      <c r="FS7" s="300">
        <f t="shared" ref="FS7:FS20" si="23">FP7+FR7+FQ7</f>
        <v>1031760.3088</v>
      </c>
      <c r="FT7" s="303">
        <v>176935.71293333336</v>
      </c>
      <c r="FU7" s="303">
        <v>279487.5</v>
      </c>
      <c r="FV7" s="303">
        <v>578349.74546666665</v>
      </c>
      <c r="FW7" s="303">
        <v>1034772.9584</v>
      </c>
      <c r="FX7" s="303">
        <v>1034772.9584</v>
      </c>
      <c r="FY7" s="255"/>
      <c r="FZ7" s="26"/>
      <c r="GB7" s="294">
        <v>2</v>
      </c>
      <c r="GC7" s="296" t="s">
        <v>178</v>
      </c>
      <c r="GD7" s="303">
        <v>73808.532999999996</v>
      </c>
      <c r="GE7" s="303">
        <v>139595.59</v>
      </c>
      <c r="GF7" s="303">
        <v>148254.01999999999</v>
      </c>
      <c r="GG7" s="300">
        <f t="shared" si="1"/>
        <v>361658.14299999998</v>
      </c>
      <c r="GH7" s="303">
        <v>0</v>
      </c>
      <c r="GI7" s="303">
        <v>0</v>
      </c>
      <c r="GJ7" s="303">
        <v>0</v>
      </c>
      <c r="GK7" s="303">
        <v>0</v>
      </c>
      <c r="GL7" s="255"/>
      <c r="GM7" s="256"/>
      <c r="GO7" s="294">
        <v>2</v>
      </c>
      <c r="GP7" s="323" t="s">
        <v>166</v>
      </c>
      <c r="GQ7" s="303">
        <v>44711111.447400004</v>
      </c>
      <c r="GR7" s="303">
        <v>101095135.1485</v>
      </c>
      <c r="GS7" s="303">
        <v>209888216.78899997</v>
      </c>
      <c r="GT7" s="300">
        <f>SUM(GQ7:GS7)</f>
        <v>355694463.38489997</v>
      </c>
      <c r="GU7" s="303">
        <v>44943675.106040001</v>
      </c>
      <c r="GV7" s="303">
        <v>100407396.55849999</v>
      </c>
      <c r="GW7" s="303">
        <v>210375201.01569998</v>
      </c>
      <c r="GX7" s="303">
        <f>SUM(GU7:GW7)</f>
        <v>355726272.68023998</v>
      </c>
      <c r="HC7" s="294">
        <v>2</v>
      </c>
      <c r="HD7" s="278">
        <v>2</v>
      </c>
      <c r="HE7" s="278">
        <v>11</v>
      </c>
      <c r="HF7" s="278">
        <v>11</v>
      </c>
      <c r="HG7" s="305">
        <v>15894309</v>
      </c>
      <c r="HH7" s="305">
        <v>15979886</v>
      </c>
      <c r="HI7" s="299">
        <f t="shared" si="2"/>
        <v>1</v>
      </c>
      <c r="HJ7" s="299">
        <f t="shared" si="3"/>
        <v>1.0053841283694687</v>
      </c>
      <c r="HK7" s="301">
        <v>1</v>
      </c>
      <c r="HL7" s="301">
        <v>0</v>
      </c>
      <c r="HM7" s="301">
        <v>0</v>
      </c>
      <c r="HO7" s="159"/>
      <c r="HQ7" s="324">
        <v>2</v>
      </c>
      <c r="HR7" s="325">
        <v>2</v>
      </c>
      <c r="HS7" s="326">
        <f t="shared" si="4"/>
        <v>1.0053841283694687</v>
      </c>
      <c r="HT7" s="303">
        <v>771.69</v>
      </c>
      <c r="HU7" s="300">
        <f t="shared" ref="HU7:HU25" si="24">HS7*HT7</f>
        <v>775.84487802143531</v>
      </c>
      <c r="HV7" s="303">
        <v>1742052</v>
      </c>
      <c r="HW7" s="300">
        <v>1750768</v>
      </c>
      <c r="HX7" s="303">
        <v>610533.36517647642</v>
      </c>
      <c r="HY7" s="300">
        <v>806495</v>
      </c>
      <c r="HZ7" s="303">
        <v>233602.67142352354</v>
      </c>
      <c r="IA7" s="303">
        <v>234554.41746061531</v>
      </c>
      <c r="IB7" s="303">
        <f t="shared" ref="IB7:IC25" si="25">SUM(HT7,HX7,HZ7)</f>
        <v>844907.72659999994</v>
      </c>
      <c r="IC7" s="303">
        <f t="shared" si="25"/>
        <v>1041825.2623386367</v>
      </c>
      <c r="ID7" s="269"/>
      <c r="IE7" s="270"/>
      <c r="IF7" s="269"/>
      <c r="IG7" s="327">
        <v>2</v>
      </c>
      <c r="IH7" s="325">
        <v>2</v>
      </c>
      <c r="II7" s="328">
        <f t="shared" si="5"/>
        <v>1</v>
      </c>
      <c r="IJ7" s="329">
        <f t="shared" si="5"/>
        <v>1.0053841283694687</v>
      </c>
      <c r="IK7" s="303">
        <v>424601.99473650049</v>
      </c>
      <c r="IL7" s="300">
        <f>IK7*$IJ7</f>
        <v>426888.10638209427</v>
      </c>
      <c r="IM7" s="303">
        <v>57087.449911708602</v>
      </c>
      <c r="IN7" s="300">
        <f t="shared" ref="IN7:IN25" si="26">IM7*$IJ7</f>
        <v>57394.816070318855</v>
      </c>
      <c r="IO7" s="303">
        <v>183454.22726349949</v>
      </c>
      <c r="IP7" s="300">
        <f t="shared" ref="IP7:IP25" si="27">IO7*II7</f>
        <v>183454.22726349949</v>
      </c>
      <c r="IQ7" s="303">
        <v>440976.30000000005</v>
      </c>
      <c r="IR7" s="300">
        <v>446976.30000000005</v>
      </c>
      <c r="IS7" s="303">
        <v>44382.004112361123</v>
      </c>
      <c r="IT7" s="300">
        <f t="shared" ref="IT7:IT24" si="28">IS7*$IJ7</f>
        <v>44620.962519796361</v>
      </c>
      <c r="IU7" s="303">
        <v>27621.772999999994</v>
      </c>
      <c r="IV7" s="300">
        <f t="shared" ref="IV7:IV25" si="29">IU7*$IJ7</f>
        <v>27770.492171624319</v>
      </c>
      <c r="IW7" s="303">
        <v>70254.61</v>
      </c>
      <c r="IX7" s="300">
        <f t="shared" ref="IX7:IX25" si="30">IW7*$IJ7</f>
        <v>70632.869838786952</v>
      </c>
      <c r="IY7" s="303">
        <v>120744.68150000001</v>
      </c>
      <c r="IZ7" s="300">
        <f t="shared" ref="IZ7:IZ25" si="31">IY7*$IJ7</f>
        <v>121394.78636512661</v>
      </c>
      <c r="JA7" s="303">
        <f t="shared" ref="JA7:JB26" si="32">IK7+IM7+IO7+IQ7+IS7+IW7+IY7+IU7</f>
        <v>1369123.0405240699</v>
      </c>
      <c r="JB7" s="303">
        <f t="shared" si="32"/>
        <v>1379132.5606112471</v>
      </c>
      <c r="JC7" s="330">
        <f t="shared" si="6"/>
        <v>8.6304280306583347</v>
      </c>
      <c r="JG7" s="294">
        <v>2</v>
      </c>
      <c r="JH7" s="278">
        <v>2</v>
      </c>
      <c r="JI7" s="17">
        <f t="shared" si="7"/>
        <v>11</v>
      </c>
      <c r="JJ7" s="17">
        <f t="shared" ref="JJ7:JJ18" si="33">JI7</f>
        <v>11</v>
      </c>
      <c r="JK7" s="331">
        <f t="shared" si="8"/>
        <v>15979886</v>
      </c>
      <c r="JL7" s="331">
        <f t="shared" si="9"/>
        <v>15900473.505860601</v>
      </c>
      <c r="JM7" s="332">
        <f t="shared" ref="JM7:JM26" si="34">JJ7/JI7</f>
        <v>1</v>
      </c>
      <c r="JN7" s="332">
        <f t="shared" ref="JN7:JN26" si="35">JL7/JK7</f>
        <v>0.99503047179814674</v>
      </c>
      <c r="JO7" s="332">
        <f t="shared" ref="JO7:JO25" si="36">LF8/LE8</f>
        <v>1.02623077814412</v>
      </c>
      <c r="JP7" s="278" t="s">
        <v>241</v>
      </c>
      <c r="JQ7" s="278"/>
      <c r="JR7" s="279"/>
      <c r="JS7" s="278"/>
      <c r="JT7" s="294">
        <v>2</v>
      </c>
      <c r="JU7" s="278">
        <v>2</v>
      </c>
      <c r="JV7" s="333" t="str">
        <f t="shared" si="10"/>
        <v>Q3</v>
      </c>
      <c r="JW7" s="334">
        <f t="shared" si="11"/>
        <v>1.02623077814412</v>
      </c>
      <c r="JX7" s="319">
        <f t="shared" ref="JX7:JX25" si="37">HU7</f>
        <v>775.84487802143531</v>
      </c>
      <c r="JY7" s="319">
        <f t="shared" ref="JY7:JY25" si="38">JX7*JO7</f>
        <v>796.19589289106739</v>
      </c>
      <c r="JZ7" s="319">
        <f t="shared" si="12"/>
        <v>1750768</v>
      </c>
      <c r="KA7" s="319">
        <f t="shared" ref="KA7:KA25" si="39">HH7/$HH$26*$KA$26</f>
        <v>1752149.7948021716</v>
      </c>
      <c r="KB7" s="319">
        <f t="shared" si="13"/>
        <v>806495</v>
      </c>
      <c r="KC7" s="319">
        <f t="shared" si="14"/>
        <v>897569.81165429589</v>
      </c>
      <c r="KD7" s="319">
        <f t="shared" ref="KD7:KD25" si="40">IA7</f>
        <v>234554.41746061531</v>
      </c>
      <c r="KE7" s="319">
        <f t="shared" ref="KE7:KE25" si="41">HH7/$HH$26*$KE$26</f>
        <v>33699.424406718434</v>
      </c>
      <c r="KF7" s="319">
        <f t="shared" ref="KF7:KG25" si="42">SUM(JX7,KB7,KD7)</f>
        <v>1041825.2623386367</v>
      </c>
      <c r="KG7" s="319">
        <f t="shared" si="42"/>
        <v>932065.43195390538</v>
      </c>
      <c r="KH7" s="282"/>
      <c r="KI7" s="279"/>
      <c r="KJ7" s="278"/>
      <c r="KK7" s="335">
        <f>KK6+1</f>
        <v>2</v>
      </c>
      <c r="KL7" s="336">
        <v>1</v>
      </c>
      <c r="KM7" s="337">
        <f>JM6</f>
        <v>0.94444444444444442</v>
      </c>
      <c r="KN7" s="337">
        <f>JN6</f>
        <v>0.99503047179814674</v>
      </c>
      <c r="KO7" s="275">
        <v>1.7</v>
      </c>
      <c r="KP7" s="245">
        <f>IL6*KP$6/KO7*KN7</f>
        <v>406996.9389537673</v>
      </c>
      <c r="KQ7" s="275">
        <v>1.7</v>
      </c>
      <c r="KR7" s="245">
        <f t="shared" ref="KR7:KR26" si="43">IN6*KR$6/KQ7*KN7</f>
        <v>3387.3611714334543</v>
      </c>
      <c r="KS7" s="275">
        <v>1.7</v>
      </c>
      <c r="KT7" s="245">
        <f t="shared" ref="KT7:KT26" si="44">IP6*KT$6/KS7*KM7</f>
        <v>238169.96015879264</v>
      </c>
      <c r="KU7" s="275">
        <v>1.7150382799999999</v>
      </c>
      <c r="KV7" s="245">
        <f>IR6*KV$6/KU7*KM7</f>
        <v>742533.8985745809</v>
      </c>
      <c r="KW7" s="275">
        <v>1.7</v>
      </c>
      <c r="KX7" s="245">
        <f t="shared" ref="KX7:KX26" si="45">IT6*KX$6/KW7*KN7</f>
        <v>15291.566419965035</v>
      </c>
      <c r="KY7" s="275">
        <v>1.7</v>
      </c>
      <c r="KZ7" s="245">
        <f t="shared" ref="KZ7:KZ26" si="46">IV6*KZ$6/KY7*KN7</f>
        <v>34243.648801610514</v>
      </c>
      <c r="LA7" s="275">
        <v>1.7</v>
      </c>
      <c r="LB7" s="245">
        <f t="shared" ref="LB7:LB26" si="47">IX6*LB$6/LA7*$KN7</f>
        <v>5763.546799181302</v>
      </c>
      <c r="LC7" s="275">
        <v>1.7</v>
      </c>
      <c r="LD7" s="338">
        <f t="shared" ref="LD7:LD26" si="48">IZ6*LD$6/LC7*$KN7</f>
        <v>158196.35785938031</v>
      </c>
      <c r="LE7" s="339">
        <f t="shared" ref="LE7:LE26" si="49">JB6</f>
        <v>1620999.7755744201</v>
      </c>
      <c r="LF7" s="339">
        <f>KP7+KR7+KT7+KV7+KX7+LB7+LD7+KZ7</f>
        <v>1604583.2787387117</v>
      </c>
      <c r="LG7" s="21"/>
      <c r="LH7" s="291"/>
      <c r="LJ7" s="294">
        <v>2</v>
      </c>
      <c r="LK7" s="340">
        <v>2</v>
      </c>
      <c r="LL7" s="303">
        <f t="shared" si="15"/>
        <v>844907.72659999994</v>
      </c>
      <c r="LM7" s="303">
        <f t="shared" si="15"/>
        <v>1041825.2623386367</v>
      </c>
      <c r="LN7" s="300">
        <f t="shared" si="16"/>
        <v>932065.43195390538</v>
      </c>
      <c r="LO7" s="303">
        <f t="shared" si="17"/>
        <v>1369123.0405240699</v>
      </c>
      <c r="LP7" s="303">
        <f t="shared" si="17"/>
        <v>1379132.5606112471</v>
      </c>
      <c r="LQ7" s="300">
        <f t="shared" ref="LQ7:LQ25" si="50">LF8</f>
        <v>1415308.2808399729</v>
      </c>
      <c r="LR7" s="297">
        <f t="shared" ref="LR7:LT26" si="51">LL7-LO7</f>
        <v>-524215.31392406998</v>
      </c>
      <c r="LS7" s="303">
        <f t="shared" si="51"/>
        <v>-337307.29827261041</v>
      </c>
      <c r="LT7" s="303">
        <f t="shared" si="51"/>
        <v>-483242.84888606751</v>
      </c>
      <c r="LV7" s="293"/>
      <c r="LW7" s="13"/>
      <c r="LX7" s="294">
        <f>LX6+1</f>
        <v>2</v>
      </c>
      <c r="LY7" s="304" t="s">
        <v>179</v>
      </c>
      <c r="LZ7" s="303">
        <f>'Phase I Schedules'!MF21</f>
        <v>117308393.00194727</v>
      </c>
      <c r="MA7" s="13"/>
      <c r="MB7" s="293"/>
      <c r="MC7" s="13"/>
      <c r="MD7" s="237">
        <v>1</v>
      </c>
      <c r="ME7" s="239" t="s">
        <v>166</v>
      </c>
      <c r="MF7" s="244">
        <f>N7</f>
        <v>372571107.89634001</v>
      </c>
      <c r="MG7" s="341">
        <f t="shared" ref="MG7:MG12" si="52">MF7/$MF$34*100</f>
        <v>16.664406915176667</v>
      </c>
      <c r="MH7" s="342">
        <f>MH8+MH9</f>
        <v>381158697.4625895</v>
      </c>
      <c r="MI7" s="341">
        <f t="shared" ref="MI7:MI12" si="53">MH7/$MI$34*100</f>
        <v>17.048513690821554</v>
      </c>
      <c r="MK7" s="293"/>
      <c r="ML7" s="13"/>
      <c r="MM7" s="237">
        <v>1</v>
      </c>
      <c r="MN7" s="343" t="str">
        <f>ME7</f>
        <v>Revenue</v>
      </c>
      <c r="MO7" s="344">
        <v>350950444.68369532</v>
      </c>
      <c r="MP7" s="244">
        <f>MF7</f>
        <v>372571107.89634001</v>
      </c>
      <c r="MQ7" s="244">
        <f>MP7-MO7</f>
        <v>21620663.212644696</v>
      </c>
      <c r="MR7" s="345">
        <f>MQ7/MO7</f>
        <v>6.1606028828745239E-2</v>
      </c>
      <c r="MT7" s="293"/>
      <c r="MU7" s="13"/>
    </row>
    <row r="8" spans="1:412" s="35" customFormat="1" x14ac:dyDescent="0.3">
      <c r="B8" s="220">
        <f>B7+1</f>
        <v>3</v>
      </c>
      <c r="C8" s="346"/>
      <c r="E8" s="240" t="s">
        <v>180</v>
      </c>
      <c r="F8" s="342">
        <f>GT8</f>
        <v>233124020.44999999</v>
      </c>
      <c r="G8" s="347">
        <f t="shared" si="18"/>
        <v>11.095185093113646</v>
      </c>
      <c r="H8" s="342">
        <f>GX8</f>
        <v>234540682.18333331</v>
      </c>
      <c r="I8" s="264">
        <f t="shared" si="19"/>
        <v>11.113982844792316</v>
      </c>
      <c r="J8" s="245">
        <f t="shared" ref="J8:J22" si="54">H8-F8</f>
        <v>1416661.7333333194</v>
      </c>
      <c r="K8" s="342">
        <f>HW26</f>
        <v>247914418</v>
      </c>
      <c r="L8" s="264">
        <f t="shared" si="20"/>
        <v>11.033641123590497</v>
      </c>
      <c r="M8" s="245">
        <f t="shared" ref="M8:M22" si="55">K8-H8</f>
        <v>13373735.816666692</v>
      </c>
      <c r="N8" s="342">
        <f>KA26</f>
        <v>246365837.59999999</v>
      </c>
      <c r="O8" s="264">
        <f t="shared" si="21"/>
        <v>11.019481867356744</v>
      </c>
      <c r="P8" s="245">
        <f t="shared" ref="P8:P22" si="56">N8-K8</f>
        <v>-1548580.400000006</v>
      </c>
      <c r="Q8" s="342">
        <f t="shared" ref="Q8:Q22" si="57">N8-F8</f>
        <v>13241817.150000006</v>
      </c>
      <c r="R8" s="265">
        <f t="shared" ref="R8:R22" si="58">O8/G8-1</f>
        <v>-6.8230701084822654E-3</v>
      </c>
      <c r="S8" s="17"/>
      <c r="T8" s="18"/>
      <c r="U8" s="17"/>
      <c r="V8" s="348">
        <f t="shared" ref="V8:V20" si="59">V7+1</f>
        <v>2</v>
      </c>
      <c r="W8" s="349" t="s">
        <v>181</v>
      </c>
      <c r="X8" s="350">
        <f>X7/F$24*100</f>
        <v>-2.1709247438677279E-2</v>
      </c>
      <c r="Y8" s="264">
        <f>Y7/F$24*100</f>
        <v>0.17728367436127351</v>
      </c>
      <c r="Z8" s="264">
        <f>Z7/F$24*100</f>
        <v>0.51556028597172598</v>
      </c>
      <c r="AA8" s="264">
        <f>AA7/F$24*100</f>
        <v>0.67113471289432214</v>
      </c>
      <c r="AB8" s="299"/>
      <c r="AC8" s="306"/>
      <c r="AD8" s="18"/>
      <c r="AE8" s="17"/>
      <c r="AF8" s="348">
        <f>AF7+1</f>
        <v>2</v>
      </c>
      <c r="AG8" s="351" t="s">
        <v>182</v>
      </c>
      <c r="AH8" s="352">
        <f>AH7*3600/F$24</f>
        <v>3.1355744283846603</v>
      </c>
      <c r="AI8" s="352">
        <f>AI7*3600/F$24</f>
        <v>0.22009964962363335</v>
      </c>
      <c r="AJ8" s="352">
        <f>AJ7*3600/F$24</f>
        <v>0.95807266629421239</v>
      </c>
      <c r="AK8" s="17"/>
      <c r="AL8" s="18"/>
      <c r="AM8" s="17"/>
      <c r="AN8" s="237">
        <v>3</v>
      </c>
      <c r="AO8" s="353"/>
      <c r="AQ8" s="354" t="s">
        <v>180</v>
      </c>
      <c r="AR8" s="240"/>
      <c r="AS8" s="355">
        <v>79503570.349999994</v>
      </c>
      <c r="AT8" s="356">
        <v>7.7528122997362363</v>
      </c>
      <c r="AU8" s="357"/>
      <c r="AV8" s="355">
        <v>82983136.416666657</v>
      </c>
      <c r="AW8" s="356">
        <v>7.689473162491363</v>
      </c>
      <c r="AX8" s="345">
        <f>AW8/AT8-1</f>
        <v>-8.1698272570107644E-3</v>
      </c>
      <c r="AY8" s="357"/>
      <c r="AZ8" s="355">
        <v>98672863.5</v>
      </c>
      <c r="BA8" s="356">
        <v>7.6482480685877787</v>
      </c>
      <c r="BB8" s="345">
        <f>BA8/AW8-1</f>
        <v>-5.3612377639442599E-3</v>
      </c>
      <c r="BC8" s="357"/>
      <c r="BD8" s="355">
        <v>111397202</v>
      </c>
      <c r="BE8" s="356">
        <v>7.5748932801967008</v>
      </c>
      <c r="BF8" s="345">
        <f>BE8/BA8-1</f>
        <v>-9.5910576818701854E-3</v>
      </c>
      <c r="BG8" s="357"/>
      <c r="BH8" s="355">
        <v>116322907.89166664</v>
      </c>
      <c r="BI8" s="356">
        <v>7.6546287169214136</v>
      </c>
      <c r="BJ8" s="345">
        <f>BI8/BE8-1</f>
        <v>1.0526278559351843E-2</v>
      </c>
      <c r="BK8" s="357"/>
      <c r="BL8" s="355">
        <v>174683793.20000002</v>
      </c>
      <c r="BM8" s="356">
        <v>10.384673130282241</v>
      </c>
      <c r="BN8" s="345">
        <f>BM8/BI8-1</f>
        <v>0.35665275408143038</v>
      </c>
      <c r="BO8" s="357"/>
      <c r="BP8" s="355">
        <v>208646041.65000004</v>
      </c>
      <c r="BQ8" s="356">
        <v>11.249033527135891</v>
      </c>
      <c r="BR8" s="345">
        <f>BQ8/BM8-1</f>
        <v>8.3234242042065976E-2</v>
      </c>
      <c r="BS8" s="357"/>
      <c r="BT8" s="35">
        <v>219246568.60000002</v>
      </c>
      <c r="BU8" s="35">
        <v>11.174331831570692</v>
      </c>
      <c r="BV8" s="35">
        <f>BU8/BQ8-1</f>
        <v>-6.6407212126265991E-3</v>
      </c>
      <c r="BW8" s="358">
        <v>215103150.44999999</v>
      </c>
      <c r="BX8" s="359">
        <v>11.112344701929782</v>
      </c>
      <c r="BY8" s="360">
        <f t="shared" ref="BY8:BY20" si="60">BX8/BU8-1</f>
        <v>-5.5472784033295808E-3</v>
      </c>
      <c r="BZ8" s="360">
        <v>224292117.40000001</v>
      </c>
      <c r="CA8" s="360">
        <v>10.99526613822796</v>
      </c>
      <c r="CB8" s="360">
        <f t="shared" ref="CB8:CB20" si="61">CA8/BX8-1</f>
        <v>-1.0535901003996928E-2</v>
      </c>
      <c r="CC8" s="360">
        <v>228950330.75</v>
      </c>
      <c r="CD8" s="360">
        <v>11.015760438596976</v>
      </c>
      <c r="CE8" s="361">
        <f t="shared" ref="CE8:CE11" si="62">CD8/CA8-1</f>
        <v>1.8639203554848827E-3</v>
      </c>
      <c r="CF8" s="342">
        <v>231071802</v>
      </c>
      <c r="CG8" s="360">
        <v>11.106155566619766</v>
      </c>
      <c r="CH8" s="361">
        <f>CG8/CD8-1</f>
        <v>8.2059816502602079E-3</v>
      </c>
      <c r="CI8" s="342">
        <f>F8</f>
        <v>233124020.44999999</v>
      </c>
      <c r="CJ8" s="360">
        <f>G8</f>
        <v>11.095185093113646</v>
      </c>
      <c r="CK8" s="361">
        <f>CJ8/CG8-1</f>
        <v>-9.8778316585912407E-4</v>
      </c>
      <c r="CL8" s="362">
        <f t="shared" ref="CL8:CL18" si="63">CI8/AS8-1</f>
        <v>1.9322459283742091</v>
      </c>
      <c r="CM8" s="361">
        <f t="shared" ref="CM8:CM11" si="64">(CL8+1)^(1/(2023-2004))-1</f>
        <v>5.8252965883032637E-2</v>
      </c>
      <c r="CN8" s="17"/>
      <c r="CO8" s="18"/>
      <c r="CP8" s="17"/>
      <c r="CQ8" s="363">
        <v>3</v>
      </c>
      <c r="CR8" s="364" t="s">
        <v>71</v>
      </c>
      <c r="CS8" s="365">
        <v>1081887.7179677642</v>
      </c>
      <c r="CT8" s="366">
        <v>20542902.44315001</v>
      </c>
      <c r="CU8" s="366">
        <v>2942676.4119999991</v>
      </c>
      <c r="CV8" s="367">
        <f>CU8+CT8</f>
        <v>23485578.85515001</v>
      </c>
      <c r="CW8" s="365">
        <v>1091884.7179677642</v>
      </c>
      <c r="CX8" s="366">
        <v>20717951.315150004</v>
      </c>
      <c r="CY8" s="366">
        <v>2219957.9497299609</v>
      </c>
      <c r="CZ8" s="366">
        <f>CY8+CX8</f>
        <v>22937909.264879964</v>
      </c>
      <c r="DA8" s="246"/>
      <c r="DB8" s="25"/>
      <c r="DC8" s="17"/>
      <c r="DD8" s="363">
        <v>3</v>
      </c>
      <c r="DE8" s="368" t="s">
        <v>71</v>
      </c>
      <c r="DF8" s="369">
        <v>60267.170391868858</v>
      </c>
      <c r="DG8" s="367">
        <v>1293154.5299000004</v>
      </c>
      <c r="DH8" s="369">
        <v>60924.503725202172</v>
      </c>
      <c r="DI8" s="366">
        <v>1306187.5912333333</v>
      </c>
      <c r="DJ8" s="366">
        <v>1026325.7965740171</v>
      </c>
      <c r="DK8" s="17"/>
      <c r="DL8" s="25"/>
      <c r="DM8" s="17"/>
      <c r="DN8" s="363">
        <v>3</v>
      </c>
      <c r="DO8" s="368" t="s">
        <v>71</v>
      </c>
      <c r="DP8" s="369">
        <v>255852.11881402408</v>
      </c>
      <c r="DQ8" s="367">
        <v>7541928.573450001</v>
      </c>
      <c r="DR8" s="369">
        <v>258491.11881402408</v>
      </c>
      <c r="DS8" s="366">
        <v>8394162.6357200369</v>
      </c>
      <c r="DT8" s="17"/>
      <c r="DU8" s="18"/>
      <c r="DV8" s="17"/>
      <c r="DW8" s="237">
        <v>3</v>
      </c>
      <c r="DX8" s="370" t="s">
        <v>183</v>
      </c>
      <c r="DY8" s="244">
        <v>2606745.8140000002</v>
      </c>
      <c r="DZ8" s="244">
        <v>5392256.6599999983</v>
      </c>
      <c r="EA8" s="244">
        <v>12852382.780000001</v>
      </c>
      <c r="EB8" s="244">
        <v>20851385.254000001</v>
      </c>
      <c r="EC8" s="342"/>
      <c r="ED8" s="244"/>
      <c r="EE8" s="244"/>
      <c r="EF8" s="244"/>
      <c r="EG8" s="23"/>
      <c r="EH8" s="371"/>
      <c r="EI8" s="23"/>
      <c r="EJ8" s="363">
        <v>3</v>
      </c>
      <c r="EK8" s="372" t="s">
        <v>184</v>
      </c>
      <c r="EL8" s="244">
        <v>153930.875</v>
      </c>
      <c r="EM8" s="244">
        <v>181107.41999999998</v>
      </c>
      <c r="EN8" s="244">
        <v>1214919.3960000002</v>
      </c>
      <c r="EO8" s="245">
        <f>SUM(EL8:EN8)</f>
        <v>1549957.6910000001</v>
      </c>
      <c r="EP8" s="244">
        <v>157739.88460000002</v>
      </c>
      <c r="EQ8" s="244">
        <v>181107.41999999998</v>
      </c>
      <c r="ER8" s="244">
        <v>1217955.7293333334</v>
      </c>
      <c r="ES8" s="244">
        <f>SUM(EP8:ER8)</f>
        <v>1556803.0339333336</v>
      </c>
      <c r="ET8" s="21"/>
      <c r="EU8" s="25"/>
      <c r="EV8" s="17"/>
      <c r="EW8" s="363">
        <v>3</v>
      </c>
      <c r="EX8" s="372" t="s">
        <v>184</v>
      </c>
      <c r="EY8" s="244">
        <v>989837.17199999979</v>
      </c>
      <c r="EZ8" s="244">
        <v>800445.58999999985</v>
      </c>
      <c r="FA8" s="244">
        <v>1285719.08</v>
      </c>
      <c r="FB8" s="245">
        <f>SUM(EY8:FA8)</f>
        <v>3076001.8419999997</v>
      </c>
      <c r="FC8" s="244">
        <v>950530.77371666674</v>
      </c>
      <c r="FD8" s="244">
        <v>767335.04304999986</v>
      </c>
      <c r="FE8" s="244">
        <v>1250585.9826666666</v>
      </c>
      <c r="FF8" s="245">
        <f>SUM(FC8:FE8)</f>
        <v>2968451.7994333333</v>
      </c>
      <c r="FG8" s="244">
        <f>(FF8/$FF$9)*$FG$9</f>
        <v>1828580.4172705847</v>
      </c>
      <c r="FH8" s="244">
        <f>(FF8/$FF$9)*$FH$9</f>
        <v>895644.80263750604</v>
      </c>
      <c r="FI8" s="244">
        <f t="shared" si="22"/>
        <v>2724225.2199080908</v>
      </c>
      <c r="FJ8" s="21"/>
      <c r="FK8" s="25"/>
      <c r="FL8" s="17"/>
      <c r="FM8" s="237">
        <f>FM7+1</f>
        <v>3</v>
      </c>
      <c r="FN8" s="373"/>
      <c r="FO8" s="374" t="s">
        <v>185</v>
      </c>
      <c r="FP8" s="244">
        <v>227688.05500000005</v>
      </c>
      <c r="FQ8" s="244">
        <v>266316.06999999995</v>
      </c>
      <c r="FR8" s="244">
        <v>519733.56599999999</v>
      </c>
      <c r="FS8" s="245">
        <f t="shared" si="23"/>
        <v>1013737.691</v>
      </c>
      <c r="FT8" s="244">
        <v>228398.0526</v>
      </c>
      <c r="FU8" s="244">
        <v>266316.06999999995</v>
      </c>
      <c r="FV8" s="244">
        <v>528656.89933333336</v>
      </c>
      <c r="FW8" s="244">
        <v>1023371.0219333332</v>
      </c>
      <c r="FX8" s="244">
        <v>1023371.0219333332</v>
      </c>
      <c r="FY8" s="21"/>
      <c r="FZ8" s="375"/>
      <c r="GA8" s="17"/>
      <c r="GB8" s="237">
        <v>3</v>
      </c>
      <c r="GC8" s="240" t="s">
        <v>186</v>
      </c>
      <c r="GD8" s="244">
        <v>0</v>
      </c>
      <c r="GE8" s="244">
        <v>1252.99</v>
      </c>
      <c r="GF8" s="244">
        <v>2596.9899999999998</v>
      </c>
      <c r="GG8" s="245">
        <f t="shared" si="1"/>
        <v>3849.9799999999996</v>
      </c>
      <c r="GH8" s="244">
        <v>0</v>
      </c>
      <c r="GI8" s="244">
        <v>1252.99</v>
      </c>
      <c r="GJ8" s="244">
        <v>2596.9899999999998</v>
      </c>
      <c r="GK8" s="244">
        <f>SUM(GH8:GJ8)</f>
        <v>3849.9799999999996</v>
      </c>
      <c r="GL8" s="255"/>
      <c r="GM8" s="256"/>
      <c r="GN8" s="17"/>
      <c r="GO8" s="237">
        <v>3</v>
      </c>
      <c r="GP8" s="376" t="s">
        <v>187</v>
      </c>
      <c r="GQ8" s="244">
        <v>29563056.449999999</v>
      </c>
      <c r="GR8" s="244">
        <v>66536029</v>
      </c>
      <c r="GS8" s="244">
        <v>137024935</v>
      </c>
      <c r="GT8" s="245">
        <f>SUM(GQ8:GS8)</f>
        <v>233124020.44999999</v>
      </c>
      <c r="GU8" s="244">
        <v>29996226.849999998</v>
      </c>
      <c r="GV8" s="244">
        <v>66536029</v>
      </c>
      <c r="GW8" s="244">
        <v>138008426.33333331</v>
      </c>
      <c r="GX8" s="244">
        <f>SUM(GU8:GW8)</f>
        <v>234540682.18333331</v>
      </c>
      <c r="GY8" s="17"/>
      <c r="GZ8" s="18"/>
      <c r="HA8" s="17"/>
      <c r="HB8" s="17"/>
      <c r="HC8" s="237">
        <v>3</v>
      </c>
      <c r="HD8" s="261">
        <v>3</v>
      </c>
      <c r="HE8" s="261">
        <v>10</v>
      </c>
      <c r="HF8" s="261">
        <v>9</v>
      </c>
      <c r="HG8" s="262">
        <v>17407394.199999999</v>
      </c>
      <c r="HH8" s="262">
        <v>16165436</v>
      </c>
      <c r="HI8" s="264">
        <f t="shared" si="2"/>
        <v>0.9</v>
      </c>
      <c r="HJ8" s="264">
        <f t="shared" si="3"/>
        <v>0.92865341097405607</v>
      </c>
      <c r="HK8" s="265">
        <v>1</v>
      </c>
      <c r="HL8" s="265">
        <v>0</v>
      </c>
      <c r="HM8" s="265">
        <v>0</v>
      </c>
      <c r="HN8" s="17"/>
      <c r="HO8" s="18"/>
      <c r="HP8" s="17"/>
      <c r="HQ8" s="377">
        <v>3</v>
      </c>
      <c r="HR8" s="272">
        <v>3</v>
      </c>
      <c r="HS8" s="268">
        <f t="shared" si="4"/>
        <v>0.92865341097405607</v>
      </c>
      <c r="HT8" s="244">
        <v>143191.98850000001</v>
      </c>
      <c r="HU8" s="245">
        <f t="shared" si="24"/>
        <v>132975.72854468282</v>
      </c>
      <c r="HV8" s="244">
        <v>1886898.2</v>
      </c>
      <c r="HW8" s="245">
        <v>1754219</v>
      </c>
      <c r="HX8" s="244">
        <v>652956.8192599999</v>
      </c>
      <c r="HY8" s="245">
        <v>803104</v>
      </c>
      <c r="HZ8" s="244">
        <v>225000</v>
      </c>
      <c r="IA8" s="244">
        <v>202500</v>
      </c>
      <c r="IB8" s="244">
        <f t="shared" si="25"/>
        <v>1021148.8077599999</v>
      </c>
      <c r="IC8" s="244">
        <f t="shared" si="25"/>
        <v>1138579.7285446827</v>
      </c>
      <c r="ID8" s="269"/>
      <c r="IE8" s="270"/>
      <c r="IF8" s="269"/>
      <c r="IG8" s="271">
        <v>3</v>
      </c>
      <c r="IH8" s="272">
        <v>3</v>
      </c>
      <c r="II8" s="273">
        <f t="shared" si="5"/>
        <v>0.9</v>
      </c>
      <c r="IJ8" s="274">
        <f t="shared" si="5"/>
        <v>0.92865341097405607</v>
      </c>
      <c r="IK8" s="244">
        <v>306286.04576421418</v>
      </c>
      <c r="IL8" s="245">
        <f t="shared" ref="IL8:IL25" si="65">IK8*$IJ8</f>
        <v>284433.58113269333</v>
      </c>
      <c r="IM8" s="244">
        <v>25383.06641647912</v>
      </c>
      <c r="IN8" s="245">
        <f t="shared" si="26"/>
        <v>23572.071208644345</v>
      </c>
      <c r="IO8" s="244">
        <v>211474.9428357858</v>
      </c>
      <c r="IP8" s="245">
        <f t="shared" si="27"/>
        <v>190327.44855220724</v>
      </c>
      <c r="IQ8" s="244">
        <v>403747.1</v>
      </c>
      <c r="IR8" s="245">
        <v>375975.8</v>
      </c>
      <c r="IS8" s="244">
        <v>24537.045245112768</v>
      </c>
      <c r="IT8" s="245">
        <f t="shared" si="28"/>
        <v>22786.410762098716</v>
      </c>
      <c r="IU8" s="244">
        <v>17665.768</v>
      </c>
      <c r="IV8" s="245">
        <f t="shared" si="29"/>
        <v>16405.37571067633</v>
      </c>
      <c r="IW8" s="244">
        <v>35008.529600000002</v>
      </c>
      <c r="IX8" s="245">
        <f t="shared" si="30"/>
        <v>32510.790426226209</v>
      </c>
      <c r="IY8" s="244">
        <v>261051.17813693956</v>
      </c>
      <c r="IZ8" s="245">
        <f t="shared" si="31"/>
        <v>242426.06701566486</v>
      </c>
      <c r="JA8" s="244">
        <f t="shared" si="32"/>
        <v>1285153.6759985313</v>
      </c>
      <c r="JB8" s="244">
        <f t="shared" si="32"/>
        <v>1188437.5448082113</v>
      </c>
      <c r="JC8" s="275">
        <f t="shared" si="6"/>
        <v>7.3517197111677728</v>
      </c>
      <c r="JD8" s="17"/>
      <c r="JE8" s="18"/>
      <c r="JF8" s="17"/>
      <c r="JG8" s="237">
        <v>3</v>
      </c>
      <c r="JH8" s="261">
        <v>3</v>
      </c>
      <c r="JI8" s="35">
        <f t="shared" si="7"/>
        <v>9</v>
      </c>
      <c r="JJ8" s="35">
        <f t="shared" si="33"/>
        <v>9</v>
      </c>
      <c r="JK8" s="243">
        <f t="shared" si="8"/>
        <v>16165436</v>
      </c>
      <c r="JL8" s="243">
        <f t="shared" si="9"/>
        <v>16085101.409902746</v>
      </c>
      <c r="JM8" s="277">
        <f t="shared" si="34"/>
        <v>1</v>
      </c>
      <c r="JN8" s="277">
        <f t="shared" si="35"/>
        <v>0.99503047179814674</v>
      </c>
      <c r="JO8" s="277">
        <f t="shared" si="36"/>
        <v>1.0261277176927186</v>
      </c>
      <c r="JP8" s="261" t="s">
        <v>403</v>
      </c>
      <c r="JQ8" s="278"/>
      <c r="JR8" s="279"/>
      <c r="JS8" s="278"/>
      <c r="JT8" s="237">
        <v>3</v>
      </c>
      <c r="JU8" s="261">
        <v>3</v>
      </c>
      <c r="JV8" s="280" t="str">
        <f t="shared" si="10"/>
        <v>Q4</v>
      </c>
      <c r="JW8" s="281">
        <f t="shared" si="11"/>
        <v>1.0261277176927186</v>
      </c>
      <c r="JX8" s="244">
        <f t="shared" si="37"/>
        <v>132975.72854468282</v>
      </c>
      <c r="JY8" s="244">
        <f t="shared" si="38"/>
        <v>136450.08084008188</v>
      </c>
      <c r="JZ8" s="244">
        <f t="shared" si="12"/>
        <v>1754219</v>
      </c>
      <c r="KA8" s="244">
        <f t="shared" si="39"/>
        <v>1772494.8332101768</v>
      </c>
      <c r="KB8" s="244">
        <f t="shared" si="13"/>
        <v>803104</v>
      </c>
      <c r="KC8" s="244">
        <f t="shared" si="14"/>
        <v>907991.91845483589</v>
      </c>
      <c r="KD8" s="244">
        <f t="shared" si="40"/>
        <v>202500</v>
      </c>
      <c r="KE8" s="244">
        <f t="shared" si="41"/>
        <v>34090.724332053738</v>
      </c>
      <c r="KF8" s="244">
        <f t="shared" si="42"/>
        <v>1138579.7285446827</v>
      </c>
      <c r="KG8" s="244">
        <f t="shared" si="42"/>
        <v>1078532.7236269715</v>
      </c>
      <c r="KH8" s="282"/>
      <c r="KI8" s="279"/>
      <c r="KJ8" s="278"/>
      <c r="KK8" s="324">
        <f t="shared" ref="KK8:KK28" si="66">KK7+1</f>
        <v>3</v>
      </c>
      <c r="KL8" s="325">
        <v>2</v>
      </c>
      <c r="KM8" s="378">
        <f t="shared" ref="KM8:KN27" si="67">JM7</f>
        <v>1</v>
      </c>
      <c r="KN8" s="378">
        <f t="shared" si="67"/>
        <v>0.99503047179814674</v>
      </c>
      <c r="KO8" s="330">
        <v>1.69933333</v>
      </c>
      <c r="KP8" s="300">
        <f t="shared" ref="KP8:KP26" si="68">IL7*KP$6/KO8*JN7</f>
        <v>438392.43310904317</v>
      </c>
      <c r="KQ8" s="330">
        <v>1.69933333</v>
      </c>
      <c r="KR8" s="300">
        <f t="shared" si="43"/>
        <v>58941.564987973361</v>
      </c>
      <c r="KS8" s="330">
        <v>1.69933333</v>
      </c>
      <c r="KT8" s="300">
        <f t="shared" si="44"/>
        <v>189339.1124969073</v>
      </c>
      <c r="KU8" s="330">
        <v>1.7150382799999999</v>
      </c>
      <c r="KV8" s="300">
        <f t="shared" ref="KV8:KV26" si="69">IR7*KV$6/KU8*KM8</f>
        <v>457090.15492960077</v>
      </c>
      <c r="KW8" s="330">
        <v>1.69933333</v>
      </c>
      <c r="KX8" s="300">
        <f t="shared" si="45"/>
        <v>45823.465292827968</v>
      </c>
      <c r="KY8" s="330">
        <v>1.69933333</v>
      </c>
      <c r="KZ8" s="300">
        <f t="shared" si="46"/>
        <v>28518.886916135158</v>
      </c>
      <c r="LA8" s="330">
        <v>1.69933333</v>
      </c>
      <c r="LB8" s="300">
        <f t="shared" si="47"/>
        <v>72536.374762299965</v>
      </c>
      <c r="LC8" s="330">
        <v>1.69933333</v>
      </c>
      <c r="LD8" s="300">
        <f t="shared" si="48"/>
        <v>124666.28834518541</v>
      </c>
      <c r="LE8" s="303">
        <f t="shared" si="49"/>
        <v>1379132.5606112471</v>
      </c>
      <c r="LF8" s="303">
        <f t="shared" ref="LF8:LF26" si="70">KP8+KR8+KT8+KV8+KX8+LB8+LD8+KZ8</f>
        <v>1415308.2808399729</v>
      </c>
      <c r="LG8" s="21"/>
      <c r="LH8" s="291"/>
      <c r="LI8" s="17"/>
      <c r="LJ8" s="237">
        <v>3</v>
      </c>
      <c r="LK8" s="292">
        <v>3</v>
      </c>
      <c r="LL8" s="244">
        <f t="shared" si="15"/>
        <v>1021148.8077599999</v>
      </c>
      <c r="LM8" s="244">
        <f t="shared" si="15"/>
        <v>1138579.7285446827</v>
      </c>
      <c r="LN8" s="245">
        <f t="shared" si="16"/>
        <v>1078532.7236269715</v>
      </c>
      <c r="LO8" s="244">
        <f t="shared" si="17"/>
        <v>1285153.6759985313</v>
      </c>
      <c r="LP8" s="244">
        <f t="shared" si="17"/>
        <v>1188437.5448082113</v>
      </c>
      <c r="LQ8" s="245">
        <f t="shared" si="50"/>
        <v>1219488.7054743879</v>
      </c>
      <c r="LR8" s="244">
        <f t="shared" si="51"/>
        <v>-264004.8682385314</v>
      </c>
      <c r="LS8" s="244">
        <f t="shared" si="51"/>
        <v>-49857.816263528541</v>
      </c>
      <c r="LT8" s="244">
        <f t="shared" si="51"/>
        <v>-140955.98184741638</v>
      </c>
      <c r="LU8" s="17"/>
      <c r="LV8" s="18"/>
      <c r="LW8" s="17"/>
      <c r="LX8" s="237">
        <f t="shared" ref="LX8:LX13" si="71">LX7+1</f>
        <v>3</v>
      </c>
      <c r="LY8" s="379" t="s">
        <v>43</v>
      </c>
      <c r="LZ8" s="380">
        <f>'Phase I Schedules'!MF8</f>
        <v>246365837.59999999</v>
      </c>
      <c r="MA8" s="17"/>
      <c r="MB8" s="18"/>
      <c r="MC8" s="17"/>
      <c r="MD8" s="294">
        <f>MD7+1</f>
        <v>2</v>
      </c>
      <c r="ME8" s="304" t="s">
        <v>180</v>
      </c>
      <c r="MF8" s="303">
        <f>N8</f>
        <v>246365837.59999999</v>
      </c>
      <c r="MG8" s="381">
        <f t="shared" si="52"/>
        <v>11.019481867356744</v>
      </c>
      <c r="MH8" s="297">
        <f>MF8</f>
        <v>246365837.59999999</v>
      </c>
      <c r="MI8" s="381">
        <f t="shared" si="53"/>
        <v>11.019481867356744</v>
      </c>
      <c r="MJ8" s="17"/>
      <c r="MK8" s="18"/>
      <c r="ML8" s="17"/>
      <c r="MM8" s="294">
        <f>MM7+1</f>
        <v>2</v>
      </c>
      <c r="MN8" s="304" t="str">
        <f>ME8</f>
        <v>Less Purchases</v>
      </c>
      <c r="MO8" s="382">
        <v>242112759.84999999</v>
      </c>
      <c r="MP8" s="303">
        <f>MF8</f>
        <v>246365837.59999999</v>
      </c>
      <c r="MQ8" s="303">
        <f t="shared" ref="MQ8:MQ32" si="72">MP8-MO8</f>
        <v>4253077.75</v>
      </c>
      <c r="MR8" s="313">
        <f t="shared" ref="MR8:MR31" si="73">MQ8/MO8</f>
        <v>1.7566516331625717E-2</v>
      </c>
      <c r="MS8" s="17"/>
      <c r="MT8" s="18"/>
      <c r="MU8" s="17"/>
    </row>
    <row r="9" spans="1:412" ht="17.25" thickBot="1" x14ac:dyDescent="0.35">
      <c r="B9" s="181">
        <f t="shared" ref="B9:B22" si="74">B8+1</f>
        <v>4</v>
      </c>
      <c r="C9" s="295"/>
      <c r="D9" s="17" t="s">
        <v>188</v>
      </c>
      <c r="E9" s="296"/>
      <c r="F9" s="297">
        <f>F7-F8</f>
        <v>115517377.87040001</v>
      </c>
      <c r="G9" s="298">
        <f t="shared" si="18"/>
        <v>5.497874849915485</v>
      </c>
      <c r="H9" s="297">
        <f>H7-H8</f>
        <v>115912022.84786788</v>
      </c>
      <c r="I9" s="299">
        <f t="shared" si="19"/>
        <v>5.4926259335657486</v>
      </c>
      <c r="J9" s="300">
        <f t="shared" si="54"/>
        <v>394644.97746786475</v>
      </c>
      <c r="K9" s="297">
        <f>HY26</f>
        <v>117864670</v>
      </c>
      <c r="L9" s="299">
        <f t="shared" si="20"/>
        <v>5.2456669540309804</v>
      </c>
      <c r="M9" s="300">
        <f t="shared" si="55"/>
        <v>1952647.1521321237</v>
      </c>
      <c r="N9" s="297">
        <f>KC26</f>
        <v>126205270.29634005</v>
      </c>
      <c r="O9" s="299">
        <f t="shared" si="21"/>
        <v>5.6449250478199247</v>
      </c>
      <c r="P9" s="300">
        <f t="shared" si="56"/>
        <v>8340600.2963400483</v>
      </c>
      <c r="Q9" s="297">
        <f t="shared" si="57"/>
        <v>10687892.425940037</v>
      </c>
      <c r="R9" s="301">
        <f>O9/G9-1</f>
        <v>2.6746734314387011E-2</v>
      </c>
      <c r="V9" s="230"/>
      <c r="W9" s="231" t="s">
        <v>24</v>
      </c>
      <c r="X9" s="383"/>
      <c r="Y9" s="384"/>
      <c r="Z9" s="384"/>
      <c r="AA9" s="384"/>
      <c r="AB9" s="234"/>
      <c r="AC9" s="307"/>
      <c r="AF9" s="385">
        <f t="shared" ref="AF9:AF21" si="75">AF8+1</f>
        <v>3</v>
      </c>
      <c r="AG9" s="386" t="s">
        <v>189</v>
      </c>
      <c r="AH9" s="387">
        <f>F14/AH7</f>
        <v>21.841581810257889</v>
      </c>
      <c r="AI9" s="387">
        <f>F15/AI7</f>
        <v>20.962887779202511</v>
      </c>
      <c r="AJ9" s="387">
        <f>F16/AJ7</f>
        <v>28.185862881240652</v>
      </c>
      <c r="AL9" s="388"/>
      <c r="AN9" s="294">
        <v>4</v>
      </c>
      <c r="AO9" s="23"/>
      <c r="AQ9" s="17" t="s">
        <v>190</v>
      </c>
      <c r="AR9" s="296"/>
      <c r="AS9" s="306">
        <v>40798541.478400007</v>
      </c>
      <c r="AT9" s="307">
        <v>3.9784808756709964</v>
      </c>
      <c r="AU9" s="308"/>
      <c r="AV9" s="306">
        <v>43143142.145199999</v>
      </c>
      <c r="AW9" s="307">
        <v>3.9977765121497129</v>
      </c>
      <c r="AX9" s="309">
        <f>AW9/AT9-1</f>
        <v>4.8500010636502999E-3</v>
      </c>
      <c r="AY9" s="308"/>
      <c r="AZ9" s="306">
        <v>52055496.75</v>
      </c>
      <c r="BA9" s="307">
        <v>4.0348819154069133</v>
      </c>
      <c r="BB9" s="309">
        <f>BA9/AW9-1</f>
        <v>9.2815101455603344E-3</v>
      </c>
      <c r="BC9" s="308"/>
      <c r="BD9" s="306">
        <v>59830706</v>
      </c>
      <c r="BE9" s="307">
        <v>4.0684254603524463</v>
      </c>
      <c r="BF9" s="309">
        <f>BE9/BA9-1</f>
        <v>8.313389499070345E-3</v>
      </c>
      <c r="BG9" s="308"/>
      <c r="BH9" s="306">
        <v>59786661.226033345</v>
      </c>
      <c r="BI9" s="307">
        <v>3.9342611202245616</v>
      </c>
      <c r="BJ9" s="309">
        <f>BI9/BE9-1</f>
        <v>-3.2976968961417885E-2</v>
      </c>
      <c r="BK9" s="308"/>
      <c r="BL9" s="306">
        <v>66021321</v>
      </c>
      <c r="BM9" s="307">
        <v>3.9248623221128827</v>
      </c>
      <c r="BN9" s="309">
        <f>BM9/BI9-1</f>
        <v>-2.3889614401452208E-3</v>
      </c>
      <c r="BO9" s="308"/>
      <c r="BP9" s="306">
        <v>81963127.490000069</v>
      </c>
      <c r="BQ9" s="307">
        <v>4.4189957395433002</v>
      </c>
      <c r="BR9" s="309">
        <f>BQ9/BM9-1</f>
        <v>0.12589828046870433</v>
      </c>
      <c r="BS9" s="308"/>
      <c r="BT9" s="17">
        <v>94550736.985399961</v>
      </c>
      <c r="BU9" s="17">
        <v>4.8189639488589151</v>
      </c>
      <c r="BV9" s="17">
        <f>BU9/BQ9-1</f>
        <v>9.0511109964761305E-2</v>
      </c>
      <c r="BW9" s="310">
        <v>96385423.959800005</v>
      </c>
      <c r="BX9" s="311">
        <v>4.9793229575775362</v>
      </c>
      <c r="BY9" s="312">
        <f t="shared" si="60"/>
        <v>3.3276656646620495E-2</v>
      </c>
      <c r="BZ9" s="312">
        <v>104384344.36159995</v>
      </c>
      <c r="CA9" s="312">
        <v>5.1171376873373191</v>
      </c>
      <c r="CB9" s="312">
        <f t="shared" si="61"/>
        <v>2.7677403320476746E-2</v>
      </c>
      <c r="CC9" s="312">
        <v>97424965.908500075</v>
      </c>
      <c r="CD9" s="312">
        <v>4.6875236286878099</v>
      </c>
      <c r="CE9" s="313">
        <f t="shared" si="62"/>
        <v>-8.3955931010536666E-2</v>
      </c>
      <c r="CF9" s="297">
        <v>105753896.93769997</v>
      </c>
      <c r="CG9" s="312">
        <v>5.0829189065932399</v>
      </c>
      <c r="CH9" s="313">
        <f>CG9/CD9-1</f>
        <v>8.4350567426603851E-2</v>
      </c>
      <c r="CI9" s="297">
        <f>F9</f>
        <v>115517377.87040001</v>
      </c>
      <c r="CJ9" s="312">
        <f>G9</f>
        <v>5.497874849915485</v>
      </c>
      <c r="CK9" s="313">
        <f>CJ9/CG9-1</f>
        <v>8.1637332986759015E-2</v>
      </c>
      <c r="CL9" s="314">
        <f t="shared" si="63"/>
        <v>1.8314094985860816</v>
      </c>
      <c r="CM9" s="313">
        <f t="shared" si="64"/>
        <v>5.6305679718759105E-2</v>
      </c>
      <c r="CQ9" s="389">
        <v>4</v>
      </c>
      <c r="CR9" s="390" t="s">
        <v>72</v>
      </c>
      <c r="CS9" s="391">
        <f t="shared" ref="CS9:CZ9" si="76">SUM(CS6:CS8)</f>
        <v>1830067.4046912384</v>
      </c>
      <c r="CT9" s="392">
        <f t="shared" si="76"/>
        <v>34746620.232850015</v>
      </c>
      <c r="CU9" s="392">
        <f t="shared" si="76"/>
        <v>5224946.7049999982</v>
      </c>
      <c r="CV9" s="393">
        <f t="shared" si="76"/>
        <v>39971566.937850013</v>
      </c>
      <c r="CW9" s="391">
        <f t="shared" si="76"/>
        <v>1847698.7213579051</v>
      </c>
      <c r="CX9" s="392">
        <f t="shared" si="76"/>
        <v>35072965.716583341</v>
      </c>
      <c r="CY9" s="392">
        <f t="shared" si="76"/>
        <v>3985918.7079495885</v>
      </c>
      <c r="CZ9" s="392">
        <f t="shared" si="76"/>
        <v>39058884.424532928</v>
      </c>
      <c r="DB9" s="25"/>
      <c r="DD9" s="389">
        <v>4</v>
      </c>
      <c r="DE9" s="390" t="s">
        <v>72</v>
      </c>
      <c r="DF9" s="394">
        <f>SUM(DF6:DF8)</f>
        <v>128460.41571007478</v>
      </c>
      <c r="DG9" s="395">
        <f>SUM(DG6:DG8)</f>
        <v>2692901.2786000008</v>
      </c>
      <c r="DH9" s="394">
        <f>SUM(DH6:DH8)</f>
        <v>129555.84904340809</v>
      </c>
      <c r="DI9" s="396">
        <f>SUM(DI6:DI8)</f>
        <v>2717833.1359333331</v>
      </c>
      <c r="DJ9" s="396">
        <f>SUM(DJ6:DJ8)</f>
        <v>2135514.2836399451</v>
      </c>
      <c r="DL9" s="25"/>
      <c r="DN9" s="389">
        <v>4</v>
      </c>
      <c r="DO9" s="390" t="s">
        <v>72</v>
      </c>
      <c r="DP9" s="394">
        <f>SUM(DP6:DP8)</f>
        <v>559175.86967116687</v>
      </c>
      <c r="DQ9" s="397">
        <f>SUM(DQ6:DQ8)</f>
        <v>15760854.389050003</v>
      </c>
      <c r="DR9" s="394">
        <f>SUM(DR6:DR8)</f>
        <v>563599.92967116693</v>
      </c>
      <c r="DS9" s="398">
        <f>SUM(DS6:DS8)</f>
        <v>17188216.339967079</v>
      </c>
      <c r="DW9" s="294">
        <v>4</v>
      </c>
      <c r="DX9" s="22" t="s">
        <v>191</v>
      </c>
      <c r="DY9" s="303">
        <v>691103.60139999993</v>
      </c>
      <c r="DZ9" s="303">
        <v>843339.83</v>
      </c>
      <c r="EA9" s="303">
        <v>1482178.8380000002</v>
      </c>
      <c r="EB9" s="303">
        <v>3016622.2694000001</v>
      </c>
      <c r="EC9" s="297"/>
      <c r="ED9" s="303"/>
      <c r="EE9" s="303"/>
      <c r="EF9" s="303"/>
      <c r="EJ9" s="399">
        <v>4</v>
      </c>
      <c r="EK9" s="400" t="s">
        <v>72</v>
      </c>
      <c r="EL9" s="401">
        <f t="shared" ref="EL9:ER9" si="77">SUM(EL6:EL8)</f>
        <v>544208.81400000001</v>
      </c>
      <c r="EM9" s="401">
        <f t="shared" si="77"/>
        <v>1429734.4650000001</v>
      </c>
      <c r="EN9" s="401">
        <f t="shared" si="77"/>
        <v>5485186.9389999993</v>
      </c>
      <c r="EO9" s="402">
        <f t="shared" si="77"/>
        <v>7459130.2179999985</v>
      </c>
      <c r="EP9" s="401">
        <f t="shared" si="77"/>
        <v>548929.37264318264</v>
      </c>
      <c r="EQ9" s="401">
        <f t="shared" si="77"/>
        <v>1429734.2750000001</v>
      </c>
      <c r="ER9" s="401">
        <f t="shared" si="77"/>
        <v>5497717.328999999</v>
      </c>
      <c r="ES9" s="401">
        <f>SUM(ES6:ES8)</f>
        <v>7476380.9766431823</v>
      </c>
      <c r="ET9" s="21"/>
      <c r="EU9" s="375"/>
      <c r="EW9" s="399">
        <v>4</v>
      </c>
      <c r="EX9" s="400" t="s">
        <v>72</v>
      </c>
      <c r="EY9" s="401">
        <f t="shared" ref="EY9:FF9" si="78">SUM(EY6:EY8)</f>
        <v>1249569.4179999998</v>
      </c>
      <c r="EZ9" s="401">
        <f t="shared" si="78"/>
        <v>1205296.2899999998</v>
      </c>
      <c r="FA9" s="401">
        <f t="shared" si="78"/>
        <v>2133473.0219999999</v>
      </c>
      <c r="FB9" s="402">
        <f t="shared" si="78"/>
        <v>4588338.7299999995</v>
      </c>
      <c r="FC9" s="401">
        <f t="shared" si="78"/>
        <v>1195204.8333616331</v>
      </c>
      <c r="FD9" s="401">
        <f t="shared" si="78"/>
        <v>1052665.4920499998</v>
      </c>
      <c r="FE9" s="401">
        <f t="shared" si="78"/>
        <v>2160036.1981250001</v>
      </c>
      <c r="FF9" s="402">
        <f t="shared" si="78"/>
        <v>4407906.5235366328</v>
      </c>
      <c r="FG9" s="401">
        <v>2715291.3689341405</v>
      </c>
      <c r="FH9" s="401">
        <v>1329958.7916742277</v>
      </c>
      <c r="FI9" s="401">
        <f t="shared" si="22"/>
        <v>4045250.160608368</v>
      </c>
      <c r="FJ9" s="21"/>
      <c r="FK9" s="375"/>
      <c r="FM9" s="294">
        <f t="shared" ref="FM9:FM37" si="79">FM8+1</f>
        <v>4</v>
      </c>
      <c r="FN9" s="321"/>
      <c r="FO9" s="322" t="s">
        <v>192</v>
      </c>
      <c r="FP9" s="303">
        <v>195355.26799999998</v>
      </c>
      <c r="FQ9" s="303">
        <v>184654.91</v>
      </c>
      <c r="FR9" s="303">
        <v>291526.29979999992</v>
      </c>
      <c r="FS9" s="300">
        <f t="shared" si="23"/>
        <v>671536.47779999988</v>
      </c>
      <c r="FT9" s="303">
        <v>200483.84933333332</v>
      </c>
      <c r="FU9" s="303">
        <v>184654.91</v>
      </c>
      <c r="FV9" s="303">
        <v>294474.29979999992</v>
      </c>
      <c r="FW9" s="303">
        <v>679613.05913333327</v>
      </c>
      <c r="FX9" s="303">
        <v>679613.05913333327</v>
      </c>
      <c r="FY9" s="21"/>
      <c r="FZ9" s="375"/>
      <c r="GB9" s="294">
        <v>4</v>
      </c>
      <c r="GC9" s="296" t="s">
        <v>193</v>
      </c>
      <c r="GD9" s="303">
        <v>0</v>
      </c>
      <c r="GE9" s="303">
        <v>73.5</v>
      </c>
      <c r="GF9" s="303">
        <v>0</v>
      </c>
      <c r="GG9" s="300">
        <f t="shared" si="1"/>
        <v>73.5</v>
      </c>
      <c r="GH9" s="303">
        <v>0</v>
      </c>
      <c r="GI9" s="303">
        <v>73.5</v>
      </c>
      <c r="GJ9" s="303">
        <v>0</v>
      </c>
      <c r="GK9" s="303">
        <f>SUM(GH9:GJ9)</f>
        <v>73.5</v>
      </c>
      <c r="GL9" s="255"/>
      <c r="GM9" s="256"/>
      <c r="GO9" s="403">
        <v>4</v>
      </c>
      <c r="GP9" s="404" t="s">
        <v>194</v>
      </c>
      <c r="GQ9" s="404">
        <f>GQ7-GQ8</f>
        <v>15148054.997400004</v>
      </c>
      <c r="GR9" s="404">
        <f>GR7-GR8</f>
        <v>34559106.148499995</v>
      </c>
      <c r="GS9" s="404">
        <f>GS7-GS8</f>
        <v>72863281.788999975</v>
      </c>
      <c r="GT9" s="404">
        <f>SUM(GQ9:GS9)</f>
        <v>122570442.93489997</v>
      </c>
      <c r="GU9" s="404">
        <f>GU7-GU8</f>
        <v>14947448.256040003</v>
      </c>
      <c r="GV9" s="404">
        <f>GV7-GV8</f>
        <v>33871367.558499992</v>
      </c>
      <c r="GW9" s="404">
        <f>GW7-GW8</f>
        <v>72366774.682366669</v>
      </c>
      <c r="GX9" s="404">
        <f>SUM(GU9:GW9)</f>
        <v>121185590.49690667</v>
      </c>
      <c r="HC9" s="294">
        <v>4</v>
      </c>
      <c r="HD9" s="278">
        <v>4</v>
      </c>
      <c r="HE9" s="278">
        <v>10</v>
      </c>
      <c r="HF9" s="278">
        <v>10</v>
      </c>
      <c r="HG9" s="305">
        <v>22289044</v>
      </c>
      <c r="HH9" s="305">
        <v>22105149</v>
      </c>
      <c r="HI9" s="299">
        <f t="shared" si="2"/>
        <v>1</v>
      </c>
      <c r="HJ9" s="299">
        <f t="shared" si="3"/>
        <v>0.99174953398629384</v>
      </c>
      <c r="HK9" s="301">
        <v>1</v>
      </c>
      <c r="HL9" s="301">
        <v>0</v>
      </c>
      <c r="HM9" s="301">
        <v>0</v>
      </c>
      <c r="HQ9" s="324">
        <v>4</v>
      </c>
      <c r="HR9" s="325">
        <v>4</v>
      </c>
      <c r="HS9" s="326">
        <f t="shared" si="4"/>
        <v>0.99174953398629384</v>
      </c>
      <c r="HT9" s="303">
        <v>5121.32</v>
      </c>
      <c r="HU9" s="300">
        <f t="shared" si="24"/>
        <v>5079.0667233946861</v>
      </c>
      <c r="HV9" s="303">
        <v>2427757</v>
      </c>
      <c r="HW9" s="300">
        <v>2406699</v>
      </c>
      <c r="HX9" s="303">
        <v>931217.23499999987</v>
      </c>
      <c r="HY9" s="300">
        <v>1106987</v>
      </c>
      <c r="HZ9" s="303">
        <v>225000</v>
      </c>
      <c r="IA9" s="303">
        <v>225000</v>
      </c>
      <c r="IB9" s="303">
        <f t="shared" si="25"/>
        <v>1161338.5549999997</v>
      </c>
      <c r="IC9" s="303">
        <f t="shared" si="25"/>
        <v>1337066.0667233947</v>
      </c>
      <c r="ID9" s="269"/>
      <c r="IE9" s="270"/>
      <c r="IF9" s="269"/>
      <c r="IG9" s="327">
        <v>4</v>
      </c>
      <c r="IH9" s="325">
        <v>4</v>
      </c>
      <c r="II9" s="328">
        <f t="shared" si="5"/>
        <v>1</v>
      </c>
      <c r="IJ9" s="329">
        <f t="shared" si="5"/>
        <v>0.99174953398629384</v>
      </c>
      <c r="IK9" s="303">
        <v>532641.42712213122</v>
      </c>
      <c r="IL9" s="300">
        <f t="shared" si="65"/>
        <v>528246.88713016815</v>
      </c>
      <c r="IM9" s="303">
        <v>41271.887861317911</v>
      </c>
      <c r="IN9" s="300">
        <f t="shared" si="26"/>
        <v>40931.375553196616</v>
      </c>
      <c r="IO9" s="303">
        <v>144419.37487786866</v>
      </c>
      <c r="IP9" s="300">
        <f t="shared" si="27"/>
        <v>144419.37487786866</v>
      </c>
      <c r="IQ9" s="303">
        <v>399400.6</v>
      </c>
      <c r="IR9" s="300">
        <v>399400.6</v>
      </c>
      <c r="IS9" s="303">
        <v>78059.341407586835</v>
      </c>
      <c r="IT9" s="300">
        <f t="shared" si="28"/>
        <v>77415.315464251253</v>
      </c>
      <c r="IU9" s="303">
        <v>55229.082500000004</v>
      </c>
      <c r="IV9" s="300">
        <f t="shared" si="29"/>
        <v>54773.416831865579</v>
      </c>
      <c r="IW9" s="303">
        <v>21169.239999999998</v>
      </c>
      <c r="IX9" s="300">
        <f t="shared" si="30"/>
        <v>20994.58390484401</v>
      </c>
      <c r="IY9" s="303">
        <v>160175.21589999998</v>
      </c>
      <c r="IZ9" s="300">
        <f t="shared" si="31"/>
        <v>158853.69572497898</v>
      </c>
      <c r="JA9" s="303">
        <f t="shared" si="32"/>
        <v>1432366.1696689045</v>
      </c>
      <c r="JB9" s="303">
        <f t="shared" si="32"/>
        <v>1425035.2494871733</v>
      </c>
      <c r="JC9" s="330">
        <f t="shared" si="6"/>
        <v>6.4466213255887723</v>
      </c>
      <c r="JG9" s="294">
        <v>4</v>
      </c>
      <c r="JH9" s="278">
        <v>4</v>
      </c>
      <c r="JI9" s="17">
        <f t="shared" si="7"/>
        <v>10</v>
      </c>
      <c r="JJ9" s="17">
        <f t="shared" si="33"/>
        <v>10</v>
      </c>
      <c r="JK9" s="331">
        <f t="shared" si="8"/>
        <v>22105149</v>
      </c>
      <c r="JL9" s="331">
        <f t="shared" si="9"/>
        <v>21995296.838638332</v>
      </c>
      <c r="JM9" s="332">
        <f t="shared" si="34"/>
        <v>1</v>
      </c>
      <c r="JN9" s="332">
        <f t="shared" si="35"/>
        <v>0.99503047179814674</v>
      </c>
      <c r="JO9" s="332">
        <f t="shared" si="36"/>
        <v>1.025967665084911</v>
      </c>
      <c r="JP9" s="278" t="s">
        <v>403</v>
      </c>
      <c r="JQ9" s="278"/>
      <c r="JR9" s="279"/>
      <c r="JS9" s="278"/>
      <c r="JT9" s="294">
        <v>4</v>
      </c>
      <c r="JU9" s="278">
        <v>4</v>
      </c>
      <c r="JV9" s="405" t="str">
        <f t="shared" si="10"/>
        <v>Q4</v>
      </c>
      <c r="JW9" s="334">
        <f t="shared" si="11"/>
        <v>1.025967665084911</v>
      </c>
      <c r="JX9" s="319">
        <f t="shared" si="37"/>
        <v>5079.0667233946861</v>
      </c>
      <c r="JY9" s="319">
        <f t="shared" si="38"/>
        <v>5210.9582270117153</v>
      </c>
      <c r="JZ9" s="319">
        <f t="shared" si="12"/>
        <v>2406699</v>
      </c>
      <c r="KA9" s="319">
        <f t="shared" si="39"/>
        <v>2423767.746805042</v>
      </c>
      <c r="KB9" s="319">
        <f t="shared" si="13"/>
        <v>1106987</v>
      </c>
      <c r="KC9" s="319">
        <f t="shared" si="14"/>
        <v>1241618.0205866392</v>
      </c>
      <c r="KD9" s="319">
        <f t="shared" si="40"/>
        <v>225000</v>
      </c>
      <c r="KE9" s="319">
        <f t="shared" si="41"/>
        <v>46616.777974808312</v>
      </c>
      <c r="KF9" s="319">
        <f t="shared" si="42"/>
        <v>1337066.0667233947</v>
      </c>
      <c r="KG9" s="319">
        <f t="shared" si="42"/>
        <v>1293445.7567884591</v>
      </c>
      <c r="KH9" s="282"/>
      <c r="KI9" s="279"/>
      <c r="KJ9" s="278"/>
      <c r="KK9" s="335">
        <f t="shared" si="66"/>
        <v>4</v>
      </c>
      <c r="KL9" s="336">
        <v>3</v>
      </c>
      <c r="KM9" s="337">
        <f t="shared" si="67"/>
        <v>1</v>
      </c>
      <c r="KN9" s="337">
        <f t="shared" si="67"/>
        <v>0.99503047179814674</v>
      </c>
      <c r="KO9" s="275">
        <v>1.7</v>
      </c>
      <c r="KP9" s="245">
        <f t="shared" si="68"/>
        <v>291984.31195271842</v>
      </c>
      <c r="KQ9" s="275">
        <v>1.7</v>
      </c>
      <c r="KR9" s="245">
        <f t="shared" si="43"/>
        <v>24197.828420075377</v>
      </c>
      <c r="KS9" s="275">
        <v>1.7</v>
      </c>
      <c r="KT9" s="245">
        <f t="shared" si="44"/>
        <v>196355.78163520587</v>
      </c>
      <c r="KU9" s="275">
        <v>1.7150382799999999</v>
      </c>
      <c r="KV9" s="245">
        <f t="shared" si="69"/>
        <v>384483.10720675922</v>
      </c>
      <c r="KW9" s="275">
        <v>1.7</v>
      </c>
      <c r="KX9" s="245">
        <f t="shared" si="45"/>
        <v>23391.311397719739</v>
      </c>
      <c r="KY9" s="275">
        <v>1.7</v>
      </c>
      <c r="KZ9" s="245">
        <f t="shared" si="46"/>
        <v>16840.881868210192</v>
      </c>
      <c r="LA9" s="275">
        <v>1.7</v>
      </c>
      <c r="LB9" s="245">
        <f t="shared" si="47"/>
        <v>33373.839811172635</v>
      </c>
      <c r="LC9" s="275">
        <v>1.7</v>
      </c>
      <c r="LD9" s="338">
        <f t="shared" si="48"/>
        <v>248861.6431825264</v>
      </c>
      <c r="LE9" s="339">
        <f t="shared" si="49"/>
        <v>1188437.5448082113</v>
      </c>
      <c r="LF9" s="339">
        <f t="shared" si="70"/>
        <v>1219488.7054743879</v>
      </c>
      <c r="LG9" s="21"/>
      <c r="LH9" s="291"/>
      <c r="LJ9" s="294">
        <v>4</v>
      </c>
      <c r="LK9" s="340">
        <v>4</v>
      </c>
      <c r="LL9" s="303">
        <f t="shared" si="15"/>
        <v>1161338.5549999997</v>
      </c>
      <c r="LM9" s="303">
        <f t="shared" si="15"/>
        <v>1337066.0667233947</v>
      </c>
      <c r="LN9" s="300">
        <f t="shared" si="16"/>
        <v>1293445.7567884591</v>
      </c>
      <c r="LO9" s="303">
        <f t="shared" si="17"/>
        <v>1432366.1696689045</v>
      </c>
      <c r="LP9" s="303">
        <f t="shared" si="17"/>
        <v>1425035.2494871733</v>
      </c>
      <c r="LQ9" s="300">
        <f t="shared" si="50"/>
        <v>1462040.0875800487</v>
      </c>
      <c r="LR9" s="303">
        <f t="shared" si="51"/>
        <v>-271027.6146689048</v>
      </c>
      <c r="LS9" s="303">
        <f t="shared" si="51"/>
        <v>-87969.182763778605</v>
      </c>
      <c r="LT9" s="303">
        <f t="shared" si="51"/>
        <v>-168594.33079158957</v>
      </c>
      <c r="LX9" s="294">
        <f t="shared" si="71"/>
        <v>4</v>
      </c>
      <c r="LY9" s="304" t="s">
        <v>195</v>
      </c>
      <c r="LZ9" s="303">
        <f>LZ7+LZ8</f>
        <v>363674230.60194725</v>
      </c>
      <c r="MD9" s="237">
        <f t="shared" ref="MD9:MD24" si="80">MD8+1</f>
        <v>3</v>
      </c>
      <c r="ME9" s="351" t="s">
        <v>196</v>
      </c>
      <c r="MF9" s="244">
        <f>N9</f>
        <v>126205270.29634005</v>
      </c>
      <c r="MG9" s="341">
        <f t="shared" si="52"/>
        <v>5.6449250478199247</v>
      </c>
      <c r="MH9" s="342">
        <f>MF30</f>
        <v>134792859.86258948</v>
      </c>
      <c r="MI9" s="341">
        <f t="shared" si="53"/>
        <v>6.0290318234648099</v>
      </c>
      <c r="MM9" s="237">
        <f t="shared" ref="MM9:MM24" si="81">MM8+1</f>
        <v>3</v>
      </c>
      <c r="MN9" s="351" t="str">
        <f>ME9</f>
        <v>Base Handling Commissions (HC)</v>
      </c>
      <c r="MO9" s="344">
        <v>108837684.83369532</v>
      </c>
      <c r="MP9" s="244">
        <f>MF9</f>
        <v>126205270.29634005</v>
      </c>
      <c r="MQ9" s="244">
        <f t="shared" si="72"/>
        <v>17367585.462644726</v>
      </c>
      <c r="MR9" s="345">
        <f t="shared" si="73"/>
        <v>0.15957327178708833</v>
      </c>
    </row>
    <row r="10" spans="1:412" s="35" customFormat="1" x14ac:dyDescent="0.3">
      <c r="B10" s="220">
        <f t="shared" si="74"/>
        <v>5</v>
      </c>
      <c r="C10" s="346"/>
      <c r="D10" s="35" t="s">
        <v>197</v>
      </c>
      <c r="E10" s="240"/>
      <c r="F10" s="342">
        <f>GG13</f>
        <v>2794233.6245000004</v>
      </c>
      <c r="G10" s="347">
        <f t="shared" si="18"/>
        <v>0.13298732235908173</v>
      </c>
      <c r="H10" s="342">
        <f>GK13</f>
        <v>646347.91850000015</v>
      </c>
      <c r="I10" s="264">
        <f t="shared" si="19"/>
        <v>3.0627947403858498E-2</v>
      </c>
      <c r="J10" s="245">
        <f t="shared" si="54"/>
        <v>-2147885.7060000002</v>
      </c>
      <c r="K10" s="342">
        <f>HU26</f>
        <v>684860.95598302153</v>
      </c>
      <c r="L10" s="264">
        <f t="shared" si="20"/>
        <v>3.0480316832060039E-2</v>
      </c>
      <c r="M10" s="245">
        <f t="shared" si="55"/>
        <v>38513.037483021384</v>
      </c>
      <c r="N10" s="342">
        <f>JY26</f>
        <v>702488.40241986408</v>
      </c>
      <c r="O10" s="264">
        <f t="shared" si="21"/>
        <v>3.1420988753572625E-2</v>
      </c>
      <c r="P10" s="245">
        <f t="shared" si="56"/>
        <v>17627.446436842554</v>
      </c>
      <c r="Q10" s="342">
        <f t="shared" si="57"/>
        <v>-2091745.2220801362</v>
      </c>
      <c r="R10" s="265">
        <f t="shared" si="58"/>
        <v>-0.76372944280559174</v>
      </c>
      <c r="S10" s="17"/>
      <c r="T10" s="18"/>
      <c r="U10" s="17"/>
      <c r="V10" s="204">
        <f>V8+1</f>
        <v>3</v>
      </c>
      <c r="W10" s="302" t="s">
        <v>174</v>
      </c>
      <c r="X10" s="303">
        <v>-2084869.5749415765</v>
      </c>
      <c r="Y10" s="303">
        <v>2857553.7038220633</v>
      </c>
      <c r="Z10" s="303">
        <v>12568254.82168182</v>
      </c>
      <c r="AA10" s="303">
        <f>SUM(X10:Z10)</f>
        <v>13340938.950562306</v>
      </c>
      <c r="AB10" s="303"/>
      <c r="AC10" s="17"/>
      <c r="AD10" s="18"/>
      <c r="AE10" s="17"/>
      <c r="AF10" s="348">
        <f t="shared" si="75"/>
        <v>4</v>
      </c>
      <c r="AG10" s="236" t="s">
        <v>24</v>
      </c>
      <c r="AK10" s="17"/>
      <c r="AL10" s="18"/>
      <c r="AM10" s="17"/>
      <c r="AN10" s="237">
        <v>5</v>
      </c>
      <c r="AO10" s="353"/>
      <c r="AQ10" s="35" t="s">
        <v>197</v>
      </c>
      <c r="AR10" s="240"/>
      <c r="AS10" s="355">
        <v>351000.77</v>
      </c>
      <c r="AT10" s="356">
        <v>3.4227935612112924E-2</v>
      </c>
      <c r="AU10" s="357"/>
      <c r="AV10" s="355">
        <v>392967.44999999995</v>
      </c>
      <c r="AW10" s="356">
        <v>3.6413574986312203E-2</v>
      </c>
      <c r="AX10" s="345">
        <f>AW10/AT10-1</f>
        <v>6.3855424965384211E-2</v>
      </c>
      <c r="AY10" s="357"/>
      <c r="AZ10" s="355">
        <v>419971.50999999995</v>
      </c>
      <c r="BA10" s="356">
        <v>3.2552478729062043E-2</v>
      </c>
      <c r="BB10" s="345">
        <f>BA10/AW10-1</f>
        <v>-0.10603452857077444</v>
      </c>
      <c r="BC10" s="357"/>
      <c r="BD10" s="355">
        <v>465783.3236</v>
      </c>
      <c r="BE10" s="356">
        <v>3.1672779070028398E-2</v>
      </c>
      <c r="BF10" s="345">
        <f>BE10/BA10-1</f>
        <v>-2.7024045276413E-2</v>
      </c>
      <c r="BG10" s="357"/>
      <c r="BH10" s="355">
        <v>1360261.3124000002</v>
      </c>
      <c r="BI10" s="356">
        <v>8.9511992892331985E-2</v>
      </c>
      <c r="BJ10" s="345">
        <f>BI10/BE10-1</f>
        <v>1.8261489998847686</v>
      </c>
      <c r="BK10" s="357"/>
      <c r="BL10" s="355">
        <v>1390376.9787000001</v>
      </c>
      <c r="BM10" s="356">
        <v>8.2655695684016636E-2</v>
      </c>
      <c r="BN10" s="345">
        <f>BM10/BI10-1</f>
        <v>-7.6596408891960732E-2</v>
      </c>
      <c r="BO10" s="357"/>
      <c r="BP10" s="355">
        <v>770218.05</v>
      </c>
      <c r="BQ10" s="356">
        <v>4.1525871275282955E-2</v>
      </c>
      <c r="BR10" s="345">
        <f>BQ10/BM10-1</f>
        <v>-0.49760423729259196</v>
      </c>
      <c r="BS10" s="357"/>
      <c r="BT10" s="35">
        <v>1472526.2590000001</v>
      </c>
      <c r="BU10" s="35">
        <v>7.5050191908761346E-2</v>
      </c>
      <c r="BV10" s="35">
        <f>BU10/BQ10-1</f>
        <v>0.8073116735164747</v>
      </c>
      <c r="BW10" s="358">
        <v>11886052.370000001</v>
      </c>
      <c r="BX10" s="359">
        <v>0.6140398725184244</v>
      </c>
      <c r="BY10" s="360">
        <f t="shared" si="60"/>
        <v>7.1817228830662252</v>
      </c>
      <c r="BZ10" s="360">
        <v>6021594.1700000009</v>
      </c>
      <c r="CA10" s="360">
        <v>0.29519107155012259</v>
      </c>
      <c r="CB10" s="360">
        <f t="shared" si="61"/>
        <v>-0.51926400098510661</v>
      </c>
      <c r="CC10" s="360">
        <v>2435490.3939</v>
      </c>
      <c r="CD10" s="360">
        <v>0.11718165526042415</v>
      </c>
      <c r="CE10" s="361">
        <f t="shared" si="62"/>
        <v>-0.60303116674541068</v>
      </c>
      <c r="CF10" s="342">
        <v>1116505.0026</v>
      </c>
      <c r="CG10" s="360">
        <v>5.3663312193258469E-2</v>
      </c>
      <c r="CH10" s="361">
        <f>CG10/CD10-1</f>
        <v>-0.54205022898851118</v>
      </c>
      <c r="CI10" s="342">
        <f>F10</f>
        <v>2794233.6245000004</v>
      </c>
      <c r="CJ10" s="360">
        <f>G10</f>
        <v>0.13298732235908173</v>
      </c>
      <c r="CK10" s="361">
        <f>CJ10/CG10-1</f>
        <v>1.4781795406171079</v>
      </c>
      <c r="CL10" s="362">
        <f t="shared" si="63"/>
        <v>6.9607620931999667</v>
      </c>
      <c r="CM10" s="361">
        <f t="shared" si="64"/>
        <v>0.11536924597719</v>
      </c>
      <c r="CN10" s="17"/>
      <c r="CO10" s="18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25"/>
      <c r="DC10" s="17"/>
      <c r="DD10" s="406"/>
      <c r="DE10" s="407"/>
      <c r="DF10" s="408"/>
      <c r="DG10" s="17"/>
      <c r="DH10" s="408"/>
      <c r="DI10" s="17"/>
      <c r="DJ10" s="17"/>
      <c r="DK10" s="17"/>
      <c r="DL10" s="25"/>
      <c r="DM10" s="17"/>
      <c r="DN10" s="17"/>
      <c r="DO10" s="17"/>
      <c r="DP10" s="17"/>
      <c r="DQ10" s="17"/>
      <c r="DR10" s="17"/>
      <c r="DS10" s="17"/>
      <c r="DT10" s="17"/>
      <c r="DU10" s="18"/>
      <c r="DV10" s="17"/>
      <c r="DW10" s="237">
        <v>5</v>
      </c>
      <c r="DX10" s="409" t="s">
        <v>198</v>
      </c>
      <c r="DY10" s="244"/>
      <c r="DZ10" s="244"/>
      <c r="EA10" s="244"/>
      <c r="EB10" s="244"/>
      <c r="EC10" s="342">
        <v>3377832.25</v>
      </c>
      <c r="ED10" s="244">
        <v>4871906.75</v>
      </c>
      <c r="EE10" s="244">
        <v>8239794.5</v>
      </c>
      <c r="EF10" s="244">
        <v>16489533.5</v>
      </c>
      <c r="EG10" s="17"/>
      <c r="EH10" s="18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21"/>
      <c r="EU10" s="375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410" t="s">
        <v>199</v>
      </c>
      <c r="FI10" s="17"/>
      <c r="FJ10" s="21"/>
      <c r="FK10" s="375"/>
      <c r="FL10" s="17"/>
      <c r="FM10" s="237">
        <f t="shared" si="79"/>
        <v>5</v>
      </c>
      <c r="FN10" s="373"/>
      <c r="FO10" s="374" t="s">
        <v>200</v>
      </c>
      <c r="FP10" s="244">
        <v>26607.704999999998</v>
      </c>
      <c r="FQ10" s="244">
        <v>135494.39000000001</v>
      </c>
      <c r="FR10" s="244">
        <v>53372.72</v>
      </c>
      <c r="FS10" s="245">
        <f t="shared" si="23"/>
        <v>215474.815</v>
      </c>
      <c r="FT10" s="244">
        <v>0</v>
      </c>
      <c r="FU10" s="244">
        <v>0</v>
      </c>
      <c r="FV10" s="244">
        <v>0</v>
      </c>
      <c r="FW10" s="244">
        <v>0</v>
      </c>
      <c r="FX10" s="244">
        <v>0</v>
      </c>
      <c r="FY10" s="21"/>
      <c r="FZ10" s="375"/>
      <c r="GA10" s="17"/>
      <c r="GB10" s="237">
        <v>5</v>
      </c>
      <c r="GC10" s="240" t="s">
        <v>201</v>
      </c>
      <c r="GD10" s="244">
        <v>14263.38</v>
      </c>
      <c r="GE10" s="244">
        <v>31680</v>
      </c>
      <c r="GF10" s="244">
        <v>162253.08000000002</v>
      </c>
      <c r="GG10" s="245">
        <f t="shared" si="1"/>
        <v>208196.46000000002</v>
      </c>
      <c r="GH10" s="244">
        <v>14263.38</v>
      </c>
      <c r="GI10" s="244">
        <v>31680</v>
      </c>
      <c r="GJ10" s="244">
        <v>162253.07999999999</v>
      </c>
      <c r="GK10" s="244">
        <f>SUM(GH10:GJ10)</f>
        <v>208196.46</v>
      </c>
      <c r="GL10" s="255"/>
      <c r="GM10" s="256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260"/>
      <c r="GZ10" s="411"/>
      <c r="HA10" s="17"/>
      <c r="HB10" s="17"/>
      <c r="HC10" s="237">
        <v>5</v>
      </c>
      <c r="HD10" s="261">
        <v>5</v>
      </c>
      <c r="HE10" s="261">
        <v>11</v>
      </c>
      <c r="HF10" s="261">
        <v>9</v>
      </c>
      <c r="HG10" s="262">
        <v>29462843</v>
      </c>
      <c r="HH10" s="262">
        <v>23778995</v>
      </c>
      <c r="HI10" s="264">
        <f t="shared" si="2"/>
        <v>0.81818181818181823</v>
      </c>
      <c r="HJ10" s="264">
        <f t="shared" si="3"/>
        <v>0.80708419754332605</v>
      </c>
      <c r="HK10" s="265">
        <v>1</v>
      </c>
      <c r="HL10" s="265">
        <v>0</v>
      </c>
      <c r="HM10" s="265">
        <v>0</v>
      </c>
      <c r="HN10" s="17"/>
      <c r="HO10" s="18"/>
      <c r="HP10" s="17"/>
      <c r="HQ10" s="377">
        <v>5</v>
      </c>
      <c r="HR10" s="272">
        <v>5</v>
      </c>
      <c r="HS10" s="268">
        <f t="shared" si="4"/>
        <v>0.80708419754332605</v>
      </c>
      <c r="HT10" s="244">
        <v>22966.32</v>
      </c>
      <c r="HU10" s="245">
        <f t="shared" si="24"/>
        <v>18535.753947723239</v>
      </c>
      <c r="HV10" s="244">
        <v>3275291.6500000004</v>
      </c>
      <c r="HW10" s="245">
        <v>2583199</v>
      </c>
      <c r="HX10" s="244">
        <v>1328111.2041800001</v>
      </c>
      <c r="HY10" s="245">
        <v>1204511</v>
      </c>
      <c r="HZ10" s="244">
        <v>247500</v>
      </c>
      <c r="IA10" s="244">
        <v>202500</v>
      </c>
      <c r="IB10" s="244">
        <f t="shared" si="25"/>
        <v>1598577.5241800002</v>
      </c>
      <c r="IC10" s="244">
        <f t="shared" si="25"/>
        <v>1425546.7539477232</v>
      </c>
      <c r="ID10" s="269"/>
      <c r="IE10" s="270"/>
      <c r="IF10" s="269"/>
      <c r="IG10" s="271">
        <v>5</v>
      </c>
      <c r="IH10" s="272">
        <v>5</v>
      </c>
      <c r="II10" s="273">
        <f t="shared" si="5"/>
        <v>0.81818181818181823</v>
      </c>
      <c r="IJ10" s="274">
        <f t="shared" si="5"/>
        <v>0.80708419754332605</v>
      </c>
      <c r="IK10" s="244">
        <v>579823.31169083749</v>
      </c>
      <c r="IL10" s="245">
        <f t="shared" si="65"/>
        <v>467966.23223291337</v>
      </c>
      <c r="IM10" s="244">
        <v>26618.313341542176</v>
      </c>
      <c r="IN10" s="245">
        <f t="shared" si="26"/>
        <v>21483.220063215376</v>
      </c>
      <c r="IO10" s="244">
        <v>433937.53830916248</v>
      </c>
      <c r="IP10" s="245">
        <f t="shared" si="27"/>
        <v>355039.80407113297</v>
      </c>
      <c r="IQ10" s="244">
        <v>535657.9</v>
      </c>
      <c r="IR10" s="245">
        <v>450574.9</v>
      </c>
      <c r="IS10" s="244">
        <v>72170.615281710343</v>
      </c>
      <c r="IT10" s="245">
        <f t="shared" si="28"/>
        <v>58247.763120847296</v>
      </c>
      <c r="IU10" s="244">
        <v>73329.312000000005</v>
      </c>
      <c r="IV10" s="245">
        <f t="shared" si="29"/>
        <v>59182.928931924194</v>
      </c>
      <c r="IW10" s="244">
        <v>46866.87</v>
      </c>
      <c r="IX10" s="245">
        <f t="shared" si="30"/>
        <v>37825.510165317384</v>
      </c>
      <c r="IY10" s="244">
        <v>232183.61061249033</v>
      </c>
      <c r="IZ10" s="245">
        <f t="shared" si="31"/>
        <v>187391.72305389383</v>
      </c>
      <c r="JA10" s="244">
        <f t="shared" si="32"/>
        <v>2000587.4712357428</v>
      </c>
      <c r="JB10" s="244">
        <f t="shared" si="32"/>
        <v>1637712.0816392447</v>
      </c>
      <c r="JC10" s="275">
        <f t="shared" si="6"/>
        <v>6.8872216073019255</v>
      </c>
      <c r="JD10" s="17"/>
      <c r="JE10" s="18"/>
      <c r="JF10" s="17"/>
      <c r="JG10" s="237">
        <v>5</v>
      </c>
      <c r="JH10" s="261">
        <v>5</v>
      </c>
      <c r="JI10" s="35">
        <f t="shared" si="7"/>
        <v>9</v>
      </c>
      <c r="JJ10" s="35">
        <f t="shared" si="33"/>
        <v>9</v>
      </c>
      <c r="JK10" s="243">
        <f t="shared" si="8"/>
        <v>23778995</v>
      </c>
      <c r="JL10" s="243">
        <f t="shared" si="9"/>
        <v>23660824.613735773</v>
      </c>
      <c r="JM10" s="277">
        <f t="shared" si="34"/>
        <v>1</v>
      </c>
      <c r="JN10" s="277">
        <f t="shared" si="35"/>
        <v>0.99503047179814674</v>
      </c>
      <c r="JO10" s="277">
        <f t="shared" si="36"/>
        <v>1.026579729795789</v>
      </c>
      <c r="JP10" s="261" t="s">
        <v>403</v>
      </c>
      <c r="JQ10" s="278"/>
      <c r="JR10" s="279"/>
      <c r="JS10" s="278"/>
      <c r="JT10" s="237">
        <v>5</v>
      </c>
      <c r="JU10" s="261">
        <v>5</v>
      </c>
      <c r="JV10" s="280" t="str">
        <f t="shared" si="10"/>
        <v>Q4</v>
      </c>
      <c r="JW10" s="281">
        <f t="shared" si="11"/>
        <v>1.026579729795789</v>
      </c>
      <c r="JX10" s="244">
        <f t="shared" si="37"/>
        <v>18535.753947723239</v>
      </c>
      <c r="JY10" s="244">
        <f t="shared" si="38"/>
        <v>19028.429279214954</v>
      </c>
      <c r="JZ10" s="244">
        <f t="shared" si="12"/>
        <v>2583199</v>
      </c>
      <c r="KA10" s="244">
        <f t="shared" si="39"/>
        <v>2607300.2779776948</v>
      </c>
      <c r="KB10" s="244">
        <f t="shared" si="13"/>
        <v>1204511</v>
      </c>
      <c r="KC10" s="244">
        <f t="shared" si="14"/>
        <v>1335635.8151415125</v>
      </c>
      <c r="KD10" s="244">
        <f t="shared" si="40"/>
        <v>202500</v>
      </c>
      <c r="KE10" s="244">
        <f t="shared" si="41"/>
        <v>50146.693441382231</v>
      </c>
      <c r="KF10" s="244">
        <f t="shared" si="42"/>
        <v>1425546.7539477232</v>
      </c>
      <c r="KG10" s="244">
        <f t="shared" si="42"/>
        <v>1404810.9378621096</v>
      </c>
      <c r="KH10" s="282"/>
      <c r="KI10" s="279"/>
      <c r="KJ10" s="278"/>
      <c r="KK10" s="324">
        <f t="shared" si="66"/>
        <v>5</v>
      </c>
      <c r="KL10" s="325">
        <v>4</v>
      </c>
      <c r="KM10" s="378">
        <f t="shared" si="67"/>
        <v>1</v>
      </c>
      <c r="KN10" s="378">
        <f t="shared" si="67"/>
        <v>0.99503047179814674</v>
      </c>
      <c r="KO10" s="330">
        <v>1.7</v>
      </c>
      <c r="KP10" s="300">
        <f t="shared" si="68"/>
        <v>542270.02052866539</v>
      </c>
      <c r="KQ10" s="330">
        <v>1.7</v>
      </c>
      <c r="KR10" s="300">
        <f t="shared" si="43"/>
        <v>42017.96243813746</v>
      </c>
      <c r="KS10" s="330">
        <v>1.7</v>
      </c>
      <c r="KT10" s="300">
        <f t="shared" si="44"/>
        <v>148993.6393994856</v>
      </c>
      <c r="KU10" s="330">
        <v>1.7150382799999999</v>
      </c>
      <c r="KV10" s="300">
        <f t="shared" si="69"/>
        <v>408437.94655997533</v>
      </c>
      <c r="KW10" s="330">
        <v>1.7</v>
      </c>
      <c r="KX10" s="300">
        <f t="shared" si="45"/>
        <v>79470.425153093456</v>
      </c>
      <c r="KY10" s="330">
        <v>1.7</v>
      </c>
      <c r="KZ10" s="300">
        <f t="shared" si="46"/>
        <v>56227.462183836535</v>
      </c>
      <c r="LA10" s="330">
        <v>1.7</v>
      </c>
      <c r="LB10" s="300">
        <f t="shared" si="47"/>
        <v>21551.91771582589</v>
      </c>
      <c r="LC10" s="330">
        <v>1.7</v>
      </c>
      <c r="LD10" s="300">
        <f t="shared" si="48"/>
        <v>163070.71360102895</v>
      </c>
      <c r="LE10" s="303">
        <f t="shared" si="49"/>
        <v>1425035.2494871733</v>
      </c>
      <c r="LF10" s="303">
        <f t="shared" si="70"/>
        <v>1462040.0875800487</v>
      </c>
      <c r="LG10" s="21"/>
      <c r="LH10" s="291"/>
      <c r="LI10" s="17"/>
      <c r="LJ10" s="237">
        <v>5</v>
      </c>
      <c r="LK10" s="292">
        <v>5</v>
      </c>
      <c r="LL10" s="244">
        <f t="shared" si="15"/>
        <v>1598577.5241800002</v>
      </c>
      <c r="LM10" s="244">
        <f t="shared" si="15"/>
        <v>1425546.7539477232</v>
      </c>
      <c r="LN10" s="245">
        <f t="shared" si="16"/>
        <v>1404810.9378621096</v>
      </c>
      <c r="LO10" s="244">
        <f t="shared" si="17"/>
        <v>2000587.4712357428</v>
      </c>
      <c r="LP10" s="244">
        <f t="shared" si="17"/>
        <v>1637712.0816392447</v>
      </c>
      <c r="LQ10" s="245">
        <f t="shared" si="50"/>
        <v>1681242.0262525149</v>
      </c>
      <c r="LR10" s="244">
        <f t="shared" si="51"/>
        <v>-402009.94705574261</v>
      </c>
      <c r="LS10" s="244">
        <f t="shared" si="51"/>
        <v>-212165.3276915215</v>
      </c>
      <c r="LT10" s="244">
        <f t="shared" si="51"/>
        <v>-276431.08839040529</v>
      </c>
      <c r="LU10" s="17"/>
      <c r="LV10" s="18"/>
      <c r="LW10" s="17"/>
      <c r="LX10" s="237">
        <f>LX9+1</f>
        <v>5</v>
      </c>
      <c r="LY10" s="412" t="s">
        <v>202</v>
      </c>
      <c r="LZ10" s="413"/>
      <c r="MA10" s="17"/>
      <c r="MB10" s="18"/>
      <c r="MC10" s="17"/>
      <c r="MD10" s="294">
        <f t="shared" si="80"/>
        <v>4</v>
      </c>
      <c r="ME10" s="304" t="s">
        <v>197</v>
      </c>
      <c r="MF10" s="303">
        <f>N10</f>
        <v>702488.40241986408</v>
      </c>
      <c r="MG10" s="381">
        <f t="shared" si="52"/>
        <v>3.1420988753572625E-2</v>
      </c>
      <c r="MH10" s="297">
        <f>MF10</f>
        <v>702488.40241986408</v>
      </c>
      <c r="MI10" s="381">
        <f t="shared" si="53"/>
        <v>3.1420988753572625E-2</v>
      </c>
      <c r="MJ10" s="17"/>
      <c r="MK10" s="18"/>
      <c r="ML10" s="17"/>
      <c r="MM10" s="294">
        <f t="shared" si="81"/>
        <v>4</v>
      </c>
      <c r="MN10" s="304" t="str">
        <f>ME10</f>
        <v>Misc Revenue</v>
      </c>
      <c r="MO10" s="382">
        <v>335494.39786893321</v>
      </c>
      <c r="MP10" s="303">
        <f>MF10</f>
        <v>702488.40241986408</v>
      </c>
      <c r="MQ10" s="303">
        <f t="shared" si="72"/>
        <v>366994.00455093087</v>
      </c>
      <c r="MR10" s="313">
        <f t="shared" si="73"/>
        <v>1.0938901122703799</v>
      </c>
      <c r="MS10" s="17"/>
      <c r="MT10" s="18"/>
      <c r="MU10" s="17"/>
    </row>
    <row r="11" spans="1:412" x14ac:dyDescent="0.3">
      <c r="B11" s="181">
        <f>B10+1</f>
        <v>6</v>
      </c>
      <c r="C11" s="295"/>
      <c r="D11" s="17" t="s">
        <v>45</v>
      </c>
      <c r="E11" s="296"/>
      <c r="F11" s="297">
        <v>4258831.4400000032</v>
      </c>
      <c r="G11" s="298">
        <f t="shared" si="18"/>
        <v>0.20269263980588559</v>
      </c>
      <c r="H11" s="297">
        <v>4627219.7305387864</v>
      </c>
      <c r="I11" s="299">
        <f t="shared" si="19"/>
        <v>0.21926618540357876</v>
      </c>
      <c r="J11" s="300">
        <f t="shared" si="54"/>
        <v>368388.29053878319</v>
      </c>
      <c r="K11" s="297">
        <v>4751773.3776924415</v>
      </c>
      <c r="L11" s="299">
        <f t="shared" si="20"/>
        <v>0.21148169829352095</v>
      </c>
      <c r="M11" s="300">
        <f t="shared" si="55"/>
        <v>124553.64715365507</v>
      </c>
      <c r="N11" s="297">
        <f>MF11</f>
        <v>4738400.1899999995</v>
      </c>
      <c r="O11" s="299">
        <f t="shared" si="21"/>
        <v>0.21193975383373018</v>
      </c>
      <c r="P11" s="300">
        <f t="shared" si="56"/>
        <v>-13373.187692441978</v>
      </c>
      <c r="Q11" s="297">
        <f t="shared" si="57"/>
        <v>479568.74999999627</v>
      </c>
      <c r="R11" s="301">
        <f>O11/G11-1</f>
        <v>4.5621360680389467E-2</v>
      </c>
      <c r="V11" s="348">
        <f t="shared" si="59"/>
        <v>4</v>
      </c>
      <c r="W11" s="349" t="s">
        <v>181</v>
      </c>
      <c r="X11" s="264">
        <f>X10/$H$24*100</f>
        <v>-9.8793968167185192E-2</v>
      </c>
      <c r="Y11" s="264">
        <f>Y10/$H$24*100</f>
        <v>0.13540850374744912</v>
      </c>
      <c r="Z11" s="264">
        <f>Z10/$H$24*100</f>
        <v>0.59556136349924926</v>
      </c>
      <c r="AA11" s="264">
        <f>AA10/$H$24*100</f>
        <v>0.6321758990795131</v>
      </c>
      <c r="AB11" s="299"/>
      <c r="AC11" s="306"/>
      <c r="AF11" s="204">
        <f t="shared" si="75"/>
        <v>5</v>
      </c>
      <c r="AG11" s="304" t="s">
        <v>78</v>
      </c>
      <c r="AH11" s="24">
        <f>CW9</f>
        <v>1847698.7213579051</v>
      </c>
      <c r="AI11" s="24">
        <f>DH9</f>
        <v>129555.84904340809</v>
      </c>
      <c r="AJ11" s="305">
        <f>DR9</f>
        <v>563599.92967116693</v>
      </c>
      <c r="AN11" s="414">
        <v>6</v>
      </c>
      <c r="AO11" s="415"/>
      <c r="AP11" s="415"/>
      <c r="AQ11" s="415" t="s">
        <v>203</v>
      </c>
      <c r="AR11" s="416"/>
      <c r="AS11" s="417">
        <v>41149542.24840001</v>
      </c>
      <c r="AT11" s="418">
        <v>4.0127088112831091</v>
      </c>
      <c r="AU11" s="419"/>
      <c r="AV11" s="417">
        <v>43536109.595200002</v>
      </c>
      <c r="AW11" s="418">
        <v>4.0341900871360252</v>
      </c>
      <c r="AX11" s="420">
        <f>AW11/AT11-1</f>
        <v>5.3533104102929663E-3</v>
      </c>
      <c r="AY11" s="419"/>
      <c r="AZ11" s="417">
        <v>52475468.259999998</v>
      </c>
      <c r="BA11" s="418">
        <v>4.067434394135975</v>
      </c>
      <c r="BB11" s="420">
        <f>BA11/AW11-1</f>
        <v>8.2406397026151268E-3</v>
      </c>
      <c r="BC11" s="419"/>
      <c r="BD11" s="417">
        <v>60296489.323600002</v>
      </c>
      <c r="BE11" s="418">
        <v>4.1000982394224748</v>
      </c>
      <c r="BF11" s="420">
        <f>BE11/BA11-1</f>
        <v>8.0305770471900129E-3</v>
      </c>
      <c r="BG11" s="419"/>
      <c r="BH11" s="417">
        <v>61146922.538433343</v>
      </c>
      <c r="BI11" s="418">
        <v>4.0237731131168939</v>
      </c>
      <c r="BJ11" s="420">
        <f>BI11/BE11-1</f>
        <v>-1.8615438423331909E-2</v>
      </c>
      <c r="BK11" s="419"/>
      <c r="BL11" s="417">
        <v>67411697.978699997</v>
      </c>
      <c r="BM11" s="418">
        <v>4.0075180177968992</v>
      </c>
      <c r="BN11" s="420">
        <f>BM11/BI11-1</f>
        <v>-4.0397643860697885E-3</v>
      </c>
      <c r="BO11" s="419"/>
      <c r="BP11" s="417">
        <v>82733345.540000066</v>
      </c>
      <c r="BQ11" s="418">
        <v>4.4605216108185832</v>
      </c>
      <c r="BR11" s="420">
        <f>BQ11/BM11-1</f>
        <v>0.11303844200074709</v>
      </c>
      <c r="BS11" s="419"/>
      <c r="BT11" s="421">
        <v>96023263.244399965</v>
      </c>
      <c r="BU11" s="421">
        <v>4.8940141407676769</v>
      </c>
      <c r="BV11" s="421">
        <f>BU11/BQ11-1</f>
        <v>9.7184268516421479E-2</v>
      </c>
      <c r="BW11" s="422">
        <v>108271476.32980001</v>
      </c>
      <c r="BX11" s="423">
        <v>5.5933628300959608</v>
      </c>
      <c r="BY11" s="424">
        <f t="shared" si="60"/>
        <v>0.14289878803222744</v>
      </c>
      <c r="BZ11" s="424">
        <v>110405938.53159995</v>
      </c>
      <c r="CA11" s="424">
        <v>5.4123287588874414</v>
      </c>
      <c r="CB11" s="424">
        <f t="shared" si="61"/>
        <v>-3.2365873036956816E-2</v>
      </c>
      <c r="CC11" s="424">
        <v>104395539.42615813</v>
      </c>
      <c r="CD11" s="424">
        <v>5.0229071493781339</v>
      </c>
      <c r="CE11" s="313">
        <f t="shared" si="62"/>
        <v>-7.1950841653853459E-2</v>
      </c>
      <c r="CF11" s="425">
        <v>111375540.52939449</v>
      </c>
      <c r="CG11" s="424">
        <v>5.3531156494630183</v>
      </c>
      <c r="CH11" s="313">
        <f>CG11/CD11-1</f>
        <v>6.574051445999074E-2</v>
      </c>
      <c r="CI11" s="425">
        <f>F12</f>
        <v>122570442.93490002</v>
      </c>
      <c r="CJ11" s="424">
        <f>G12</f>
        <v>5.833554812080453</v>
      </c>
      <c r="CK11" s="313">
        <f>CJ11/CG11-1</f>
        <v>8.9749445757935087E-2</v>
      </c>
      <c r="CL11" s="426">
        <f t="shared" si="63"/>
        <v>1.9786587222526353</v>
      </c>
      <c r="CM11" s="313">
        <f t="shared" si="64"/>
        <v>5.912802635912584E-2</v>
      </c>
      <c r="CV11" s="305"/>
      <c r="CZ11" s="305"/>
      <c r="DB11" s="25"/>
      <c r="DG11" s="17"/>
      <c r="DL11" s="25"/>
      <c r="DQ11" s="17"/>
      <c r="DW11" s="428">
        <v>6</v>
      </c>
      <c r="DX11" s="429" t="s">
        <v>204</v>
      </c>
      <c r="DY11" s="430"/>
      <c r="DZ11" s="430"/>
      <c r="EA11" s="430"/>
      <c r="EB11" s="430"/>
      <c r="EC11" s="431">
        <v>1576327.4500000004</v>
      </c>
      <c r="ED11" s="430">
        <v>2472777.4</v>
      </c>
      <c r="EE11" s="430">
        <v>4889087.75</v>
      </c>
      <c r="EF11" s="430">
        <v>8938192.6000000015</v>
      </c>
      <c r="ET11" s="21"/>
      <c r="EU11" s="375"/>
      <c r="FJ11" s="21"/>
      <c r="FK11" s="375"/>
      <c r="FM11" s="294">
        <f t="shared" si="79"/>
        <v>6</v>
      </c>
      <c r="FN11" s="321"/>
      <c r="FO11" s="322" t="s">
        <v>205</v>
      </c>
      <c r="FP11" s="303">
        <v>45268.255000000005</v>
      </c>
      <c r="FQ11" s="303">
        <v>46321.380000000005</v>
      </c>
      <c r="FR11" s="303">
        <v>55188.42</v>
      </c>
      <c r="FS11" s="300">
        <f t="shared" si="23"/>
        <v>146778.05499999999</v>
      </c>
      <c r="FT11" s="303">
        <v>46449.505000000005</v>
      </c>
      <c r="FU11" s="303">
        <v>46321.380000000005</v>
      </c>
      <c r="FV11" s="303">
        <v>55188.42</v>
      </c>
      <c r="FW11" s="303">
        <v>147959.30499999999</v>
      </c>
      <c r="FX11" s="303">
        <v>147959.30499999999</v>
      </c>
      <c r="FY11" s="21"/>
      <c r="FZ11" s="256"/>
      <c r="GB11" s="432">
        <v>6</v>
      </c>
      <c r="GC11" s="433" t="s">
        <v>206</v>
      </c>
      <c r="GD11" s="319">
        <v>105070.67</v>
      </c>
      <c r="GE11" s="319">
        <v>175192.16999999998</v>
      </c>
      <c r="GF11" s="319">
        <v>172312.25999999998</v>
      </c>
      <c r="GG11" s="318">
        <f t="shared" ref="GG11" si="82">SUM(GD11:GF11)</f>
        <v>452575.1</v>
      </c>
      <c r="GH11" s="319">
        <v>0</v>
      </c>
      <c r="GI11" s="319">
        <v>0</v>
      </c>
      <c r="GJ11" s="319">
        <v>0</v>
      </c>
      <c r="GK11" s="319">
        <f>SUM(GH11:GJ11)</f>
        <v>0</v>
      </c>
      <c r="GL11" s="255"/>
      <c r="GM11" s="256"/>
      <c r="HC11" s="294">
        <v>6</v>
      </c>
      <c r="HD11" s="278">
        <v>6</v>
      </c>
      <c r="HE11" s="278">
        <v>10</v>
      </c>
      <c r="HF11" s="278">
        <v>10</v>
      </c>
      <c r="HG11" s="305">
        <v>29988386</v>
      </c>
      <c r="HH11" s="305">
        <v>29584144</v>
      </c>
      <c r="HI11" s="299">
        <f t="shared" si="2"/>
        <v>1</v>
      </c>
      <c r="HJ11" s="299">
        <f t="shared" si="3"/>
        <v>0.98652004812796523</v>
      </c>
      <c r="HK11" s="301">
        <v>1</v>
      </c>
      <c r="HL11" s="301">
        <v>0</v>
      </c>
      <c r="HM11" s="301">
        <v>0</v>
      </c>
      <c r="HQ11" s="324">
        <v>6</v>
      </c>
      <c r="HR11" s="325">
        <v>6</v>
      </c>
      <c r="HS11" s="326">
        <f t="shared" si="4"/>
        <v>0.98652004812796523</v>
      </c>
      <c r="HT11" s="303">
        <v>14004</v>
      </c>
      <c r="HU11" s="300">
        <f t="shared" si="24"/>
        <v>13815.226753984025</v>
      </c>
      <c r="HV11" s="303">
        <v>3236328</v>
      </c>
      <c r="HW11" s="300">
        <v>3196099</v>
      </c>
      <c r="HX11" s="303">
        <v>1333543.1881999997</v>
      </c>
      <c r="HY11" s="300">
        <v>1440835</v>
      </c>
      <c r="HZ11" s="303">
        <v>225000</v>
      </c>
      <c r="IA11" s="303">
        <v>225000</v>
      </c>
      <c r="IB11" s="303">
        <f t="shared" si="25"/>
        <v>1572547.1881999997</v>
      </c>
      <c r="IC11" s="303">
        <f t="shared" si="25"/>
        <v>1679650.2267539841</v>
      </c>
      <c r="ID11" s="269"/>
      <c r="IE11" s="270"/>
      <c r="IF11" s="269"/>
      <c r="IG11" s="327">
        <v>6</v>
      </c>
      <c r="IH11" s="325">
        <v>6</v>
      </c>
      <c r="II11" s="328">
        <f t="shared" si="5"/>
        <v>1</v>
      </c>
      <c r="IJ11" s="329">
        <f t="shared" si="5"/>
        <v>0.98652004812796523</v>
      </c>
      <c r="IK11" s="303">
        <v>477014.08981997776</v>
      </c>
      <c r="IL11" s="300">
        <f t="shared" si="65"/>
        <v>470583.96284692199</v>
      </c>
      <c r="IM11" s="303">
        <v>23307.623355897253</v>
      </c>
      <c r="IN11" s="300">
        <f t="shared" si="26"/>
        <v>22993.437714808246</v>
      </c>
      <c r="IO11" s="303">
        <v>328979.42968002229</v>
      </c>
      <c r="IP11" s="300">
        <f t="shared" si="27"/>
        <v>328979.42968002229</v>
      </c>
      <c r="IQ11" s="303">
        <v>619355.1</v>
      </c>
      <c r="IR11" s="300">
        <v>643612.80000000005</v>
      </c>
      <c r="IS11" s="303">
        <v>40544.00821588299</v>
      </c>
      <c r="IT11" s="300">
        <f t="shared" si="28"/>
        <v>39997.476936433508</v>
      </c>
      <c r="IU11" s="303">
        <v>36429.991250000006</v>
      </c>
      <c r="IV11" s="300">
        <f t="shared" si="29"/>
        <v>35938.916721251357</v>
      </c>
      <c r="IW11" s="303">
        <v>14744.61</v>
      </c>
      <c r="IX11" s="300">
        <f t="shared" si="30"/>
        <v>14545.853366828078</v>
      </c>
      <c r="IY11" s="303">
        <v>152825.40220000001</v>
      </c>
      <c r="IZ11" s="300">
        <f t="shared" si="31"/>
        <v>150765.32313351965</v>
      </c>
      <c r="JA11" s="303">
        <f t="shared" si="32"/>
        <v>1693200.2545217802</v>
      </c>
      <c r="JB11" s="303">
        <f t="shared" si="32"/>
        <v>1707417.2003997851</v>
      </c>
      <c r="JC11" s="330">
        <f t="shared" si="6"/>
        <v>5.771392947518728</v>
      </c>
      <c r="JG11" s="294">
        <v>6</v>
      </c>
      <c r="JH11" s="278">
        <v>6</v>
      </c>
      <c r="JI11" s="17">
        <f t="shared" si="7"/>
        <v>10</v>
      </c>
      <c r="JJ11" s="17">
        <f t="shared" si="33"/>
        <v>10</v>
      </c>
      <c r="JK11" s="331">
        <f t="shared" si="8"/>
        <v>29584144</v>
      </c>
      <c r="JL11" s="331">
        <f t="shared" si="9"/>
        <v>29437124.762064312</v>
      </c>
      <c r="JM11" s="332">
        <f t="shared" si="34"/>
        <v>1</v>
      </c>
      <c r="JN11" s="332">
        <f t="shared" si="35"/>
        <v>0.99503047179814674</v>
      </c>
      <c r="JO11" s="332">
        <f t="shared" si="36"/>
        <v>1.0263083216091782</v>
      </c>
      <c r="JP11" s="278" t="s">
        <v>241</v>
      </c>
      <c r="JQ11" s="278"/>
      <c r="JR11" s="279"/>
      <c r="JS11" s="278"/>
      <c r="JT11" s="294">
        <v>6</v>
      </c>
      <c r="JU11" s="278">
        <v>6</v>
      </c>
      <c r="JV11" s="405" t="str">
        <f t="shared" si="10"/>
        <v>Q3</v>
      </c>
      <c r="JW11" s="334">
        <f t="shared" si="11"/>
        <v>1.0263083216091782</v>
      </c>
      <c r="JX11" s="319">
        <f t="shared" si="37"/>
        <v>13815.226753984025</v>
      </c>
      <c r="JY11" s="319">
        <f t="shared" si="38"/>
        <v>14178.68218253156</v>
      </c>
      <c r="JZ11" s="319">
        <f t="shared" si="12"/>
        <v>3196099</v>
      </c>
      <c r="KA11" s="319">
        <f t="shared" si="39"/>
        <v>3243818.6254268587</v>
      </c>
      <c r="KB11" s="319">
        <f t="shared" si="13"/>
        <v>1440835</v>
      </c>
      <c r="KC11" s="319">
        <f t="shared" si="14"/>
        <v>1661703.6290517696</v>
      </c>
      <c r="KD11" s="319">
        <f t="shared" si="40"/>
        <v>225000</v>
      </c>
      <c r="KE11" s="319">
        <f t="shared" si="41"/>
        <v>62388.969756447128</v>
      </c>
      <c r="KF11" s="319">
        <f t="shared" si="42"/>
        <v>1679650.2267539841</v>
      </c>
      <c r="KG11" s="319">
        <f t="shared" si="42"/>
        <v>1738271.2809907482</v>
      </c>
      <c r="KH11" s="282"/>
      <c r="KI11" s="279"/>
      <c r="KJ11" s="278"/>
      <c r="KK11" s="335">
        <f t="shared" si="66"/>
        <v>6</v>
      </c>
      <c r="KL11" s="336">
        <v>5</v>
      </c>
      <c r="KM11" s="337">
        <f t="shared" si="67"/>
        <v>1</v>
      </c>
      <c r="KN11" s="337">
        <f t="shared" si="67"/>
        <v>0.99503047179814674</v>
      </c>
      <c r="KO11" s="275">
        <v>1.7</v>
      </c>
      <c r="KP11" s="245">
        <f t="shared" si="68"/>
        <v>480389.12209838122</v>
      </c>
      <c r="KQ11" s="275">
        <v>1.7</v>
      </c>
      <c r="KR11" s="245">
        <f t="shared" si="43"/>
        <v>22053.525479329463</v>
      </c>
      <c r="KS11" s="275">
        <v>1.7</v>
      </c>
      <c r="KT11" s="245">
        <f t="shared" si="44"/>
        <v>366285.15103997168</v>
      </c>
      <c r="KU11" s="275">
        <v>1.7150382799999999</v>
      </c>
      <c r="KV11" s="245">
        <f t="shared" si="69"/>
        <v>460770.18143554678</v>
      </c>
      <c r="KW11" s="275">
        <v>1.7</v>
      </c>
      <c r="KX11" s="245">
        <f t="shared" si="45"/>
        <v>59794.040386853092</v>
      </c>
      <c r="KY11" s="275">
        <v>1.7</v>
      </c>
      <c r="KZ11" s="245">
        <f t="shared" si="46"/>
        <v>60754.031625656971</v>
      </c>
      <c r="LA11" s="275">
        <v>1.7</v>
      </c>
      <c r="LB11" s="245">
        <f t="shared" si="47"/>
        <v>38829.647033583969</v>
      </c>
      <c r="LC11" s="275">
        <v>1.7</v>
      </c>
      <c r="LD11" s="338">
        <f t="shared" si="48"/>
        <v>192366.32715319161</v>
      </c>
      <c r="LE11" s="339">
        <f t="shared" si="49"/>
        <v>1637712.0816392447</v>
      </c>
      <c r="LF11" s="339">
        <f t="shared" si="70"/>
        <v>1681242.0262525149</v>
      </c>
      <c r="LG11" s="21"/>
      <c r="LH11" s="291"/>
      <c r="LJ11" s="294">
        <v>6</v>
      </c>
      <c r="LK11" s="340">
        <v>6</v>
      </c>
      <c r="LL11" s="303">
        <f t="shared" si="15"/>
        <v>1572547.1881999997</v>
      </c>
      <c r="LM11" s="303">
        <f t="shared" si="15"/>
        <v>1679650.2267539841</v>
      </c>
      <c r="LN11" s="300">
        <f t="shared" si="16"/>
        <v>1738271.2809907482</v>
      </c>
      <c r="LO11" s="303">
        <f t="shared" si="17"/>
        <v>1693200.2545217802</v>
      </c>
      <c r="LP11" s="303">
        <f t="shared" si="17"/>
        <v>1707417.2003997851</v>
      </c>
      <c r="LQ11" s="300">
        <f t="shared" si="50"/>
        <v>1752336.4812289453</v>
      </c>
      <c r="LR11" s="303">
        <f t="shared" si="51"/>
        <v>-120653.06632178044</v>
      </c>
      <c r="LS11" s="303">
        <f>LM11-LP11</f>
        <v>-27766.973645800957</v>
      </c>
      <c r="LT11" s="303">
        <f t="shared" si="51"/>
        <v>-14065.200238197111</v>
      </c>
      <c r="LX11" s="294">
        <f>LX10+1</f>
        <v>6</v>
      </c>
      <c r="LY11" s="304" t="s">
        <v>207</v>
      </c>
      <c r="LZ11" s="435">
        <v>5.9299999999999999E-2</v>
      </c>
      <c r="MD11" s="237">
        <f>MD10+1</f>
        <v>5</v>
      </c>
      <c r="ME11" s="351" t="s">
        <v>45</v>
      </c>
      <c r="MF11" s="244">
        <f>'Phase II Schedules'!II4*'Phase II Schedules'!IH4</f>
        <v>4738400.1899999995</v>
      </c>
      <c r="MG11" s="341">
        <f t="shared" si="52"/>
        <v>0.21193975383373018</v>
      </c>
      <c r="MH11" s="342">
        <f>MF11</f>
        <v>4738400.1899999995</v>
      </c>
      <c r="MI11" s="341">
        <f t="shared" si="53"/>
        <v>0.21193975383373018</v>
      </c>
      <c r="MM11" s="237">
        <f t="shared" si="81"/>
        <v>5</v>
      </c>
      <c r="MN11" s="351" t="str">
        <f>ME11</f>
        <v>Depot Viability Handling Commissions</v>
      </c>
      <c r="MO11" s="344">
        <v>4749598.8</v>
      </c>
      <c r="MP11" s="244">
        <f>MH11</f>
        <v>4738400.1899999995</v>
      </c>
      <c r="MQ11" s="244">
        <f t="shared" si="72"/>
        <v>-11198.610000000335</v>
      </c>
      <c r="MR11" s="361">
        <f t="shared" si="73"/>
        <v>-2.3578012526027114E-3</v>
      </c>
    </row>
    <row r="12" spans="1:412" s="35" customFormat="1" ht="17.25" customHeight="1" thickBot="1" x14ac:dyDescent="0.35">
      <c r="B12" s="220">
        <f>B11+1</f>
        <v>7</v>
      </c>
      <c r="C12" s="239" t="s">
        <v>208</v>
      </c>
      <c r="D12" s="238"/>
      <c r="E12" s="252"/>
      <c r="F12" s="342">
        <f>F9+F10+F11</f>
        <v>122570442.93490002</v>
      </c>
      <c r="G12" s="347">
        <f t="shared" si="18"/>
        <v>5.833554812080453</v>
      </c>
      <c r="H12" s="342">
        <f>H9+H10+H11</f>
        <v>121185590.49690667</v>
      </c>
      <c r="I12" s="264">
        <f t="shared" si="19"/>
        <v>5.7425200663731868</v>
      </c>
      <c r="J12" s="245">
        <f t="shared" si="54"/>
        <v>-1384852.4379933476</v>
      </c>
      <c r="K12" s="342">
        <f>K9+K10+K11</f>
        <v>123301304.33367547</v>
      </c>
      <c r="L12" s="264">
        <f t="shared" si="20"/>
        <v>5.4876289691565621</v>
      </c>
      <c r="M12" s="245">
        <f t="shared" si="55"/>
        <v>2115713.836768806</v>
      </c>
      <c r="N12" s="342">
        <f>N9+N10+N11</f>
        <v>131646158.88875991</v>
      </c>
      <c r="O12" s="264">
        <f t="shared" si="21"/>
        <v>5.8882857904072274</v>
      </c>
      <c r="P12" s="245">
        <f t="shared" si="56"/>
        <v>8344854.5550844371</v>
      </c>
      <c r="Q12" s="342">
        <f t="shared" si="57"/>
        <v>9075715.9538598955</v>
      </c>
      <c r="R12" s="265">
        <f t="shared" si="58"/>
        <v>9.3820972099951661E-3</v>
      </c>
      <c r="S12" s="17"/>
      <c r="T12" s="18"/>
      <c r="U12" s="17"/>
      <c r="V12" s="204">
        <f t="shared" si="59"/>
        <v>5</v>
      </c>
      <c r="W12" s="436" t="s">
        <v>134</v>
      </c>
      <c r="X12" s="303">
        <f>X10-X7</f>
        <v>-1628730.5379290758</v>
      </c>
      <c r="Y12" s="303">
        <f t="shared" ref="Y12:AA12" si="83">Y10-Y7</f>
        <v>-867402.89495518804</v>
      </c>
      <c r="Z12" s="303">
        <f t="shared" si="83"/>
        <v>1735674.2345695347</v>
      </c>
      <c r="AA12" s="303">
        <f t="shared" si="83"/>
        <v>-760459.19831473008</v>
      </c>
      <c r="AB12" s="303"/>
      <c r="AC12" s="307"/>
      <c r="AD12" s="18"/>
      <c r="AE12" s="17"/>
      <c r="AF12" s="348">
        <f t="shared" si="75"/>
        <v>6</v>
      </c>
      <c r="AG12" s="351" t="s">
        <v>182</v>
      </c>
      <c r="AH12" s="352">
        <f>AH11*3600/$H$24</f>
        <v>3.1519926573622192</v>
      </c>
      <c r="AI12" s="352">
        <f>AI11*3600/$H$24</f>
        <v>0.22100956188519758</v>
      </c>
      <c r="AJ12" s="352">
        <f>AJ11*3600/$H$24</f>
        <v>0.96144615974395908</v>
      </c>
      <c r="AK12" s="17"/>
      <c r="AL12" s="437"/>
      <c r="AM12" s="17"/>
      <c r="AN12" s="237">
        <v>7</v>
      </c>
      <c r="AO12" s="238"/>
      <c r="AP12" s="236" t="s">
        <v>209</v>
      </c>
      <c r="AQ12" s="12"/>
      <c r="AR12" s="240"/>
      <c r="AS12" s="355"/>
      <c r="AT12" s="356"/>
      <c r="AU12" s="357"/>
      <c r="AV12" s="355"/>
      <c r="AW12" s="356"/>
      <c r="AX12" s="345"/>
      <c r="AY12" s="357"/>
      <c r="AZ12" s="355"/>
      <c r="BA12" s="438"/>
      <c r="BB12" s="345"/>
      <c r="BC12" s="357"/>
      <c r="BD12" s="355"/>
      <c r="BE12" s="438"/>
      <c r="BF12" s="345"/>
      <c r="BG12" s="357"/>
      <c r="BH12" s="355"/>
      <c r="BI12" s="438"/>
      <c r="BJ12" s="345"/>
      <c r="BK12" s="357"/>
      <c r="BL12" s="355"/>
      <c r="BM12" s="438"/>
      <c r="BN12" s="345"/>
      <c r="BO12" s="357"/>
      <c r="BP12" s="355"/>
      <c r="BQ12" s="438"/>
      <c r="BR12" s="345"/>
      <c r="BS12" s="357"/>
      <c r="BW12" s="358"/>
      <c r="BX12" s="359"/>
      <c r="BY12" s="360"/>
      <c r="BZ12" s="360"/>
      <c r="CA12" s="360"/>
      <c r="CB12" s="360"/>
      <c r="CC12" s="360"/>
      <c r="CD12" s="360"/>
      <c r="CE12" s="439"/>
      <c r="CF12" s="342"/>
      <c r="CG12" s="360"/>
      <c r="CH12" s="439"/>
      <c r="CI12" s="342"/>
      <c r="CJ12" s="360"/>
      <c r="CK12" s="439"/>
      <c r="CL12" s="362"/>
      <c r="CM12" s="439"/>
      <c r="CN12" s="17"/>
      <c r="CO12" s="18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305"/>
      <c r="DB12" s="25"/>
      <c r="DC12" s="17"/>
      <c r="DD12" s="17"/>
      <c r="DE12" s="17"/>
      <c r="DF12" s="17"/>
      <c r="DG12" s="17"/>
      <c r="DH12" s="17"/>
      <c r="DI12" s="17"/>
      <c r="DJ12" s="17"/>
      <c r="DK12" s="17"/>
      <c r="DL12" s="25"/>
      <c r="DM12" s="17"/>
      <c r="DN12" s="17"/>
      <c r="DO12" s="17"/>
      <c r="DP12" s="17"/>
      <c r="DQ12" s="17"/>
      <c r="DR12" s="17"/>
      <c r="DS12" s="17"/>
      <c r="DT12" s="17"/>
      <c r="DU12" s="18"/>
      <c r="DV12" s="17"/>
      <c r="DW12" s="440">
        <v>7</v>
      </c>
      <c r="DX12" s="441" t="s">
        <v>72</v>
      </c>
      <c r="DY12" s="442">
        <f t="shared" ref="DY12:EF12" si="84">SUM(DY7:DY11)</f>
        <v>3564769.6054000002</v>
      </c>
      <c r="DZ12" s="442">
        <f t="shared" si="84"/>
        <v>6502947.9329999983</v>
      </c>
      <c r="EA12" s="442">
        <f t="shared" si="84"/>
        <v>14660952.788000001</v>
      </c>
      <c r="EB12" s="443">
        <f t="shared" si="84"/>
        <v>24728670.326400001</v>
      </c>
      <c r="EC12" s="442">
        <f t="shared" si="84"/>
        <v>4954159.7</v>
      </c>
      <c r="ED12" s="442">
        <f t="shared" si="84"/>
        <v>7344684.1500000004</v>
      </c>
      <c r="EE12" s="442">
        <f t="shared" si="84"/>
        <v>13128882.25</v>
      </c>
      <c r="EF12" s="442">
        <f t="shared" si="84"/>
        <v>25427726.100000001</v>
      </c>
      <c r="EG12" s="17"/>
      <c r="EH12" s="18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21"/>
      <c r="EU12" s="375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375"/>
      <c r="FL12" s="17"/>
      <c r="FM12" s="237">
        <f t="shared" si="79"/>
        <v>7</v>
      </c>
      <c r="FN12" s="373"/>
      <c r="FO12" s="374" t="s">
        <v>210</v>
      </c>
      <c r="FP12" s="244">
        <v>206246.67349999998</v>
      </c>
      <c r="FQ12" s="244">
        <v>357973.23000000004</v>
      </c>
      <c r="FR12" s="244">
        <v>494533.71260000003</v>
      </c>
      <c r="FS12" s="245">
        <f t="shared" si="23"/>
        <v>1058753.6161</v>
      </c>
      <c r="FT12" s="244">
        <v>222245.13923333329</v>
      </c>
      <c r="FU12" s="244">
        <v>357973.23000000004</v>
      </c>
      <c r="FV12" s="244">
        <v>495072.37926666671</v>
      </c>
      <c r="FW12" s="244">
        <v>1075290.7485</v>
      </c>
      <c r="FX12" s="244">
        <v>1075290.7485</v>
      </c>
      <c r="FY12" s="21"/>
      <c r="FZ12" s="375"/>
      <c r="GA12" s="17"/>
      <c r="GB12" s="363">
        <v>7</v>
      </c>
      <c r="GC12" s="372" t="s">
        <v>211</v>
      </c>
      <c r="GD12" s="366">
        <v>431286.50150000001</v>
      </c>
      <c r="GE12" s="366">
        <v>511749.14</v>
      </c>
      <c r="GF12" s="366">
        <v>815965.92000000016</v>
      </c>
      <c r="GG12" s="367">
        <f t="shared" si="1"/>
        <v>1759001.5615000003</v>
      </c>
      <c r="GH12" s="366">
        <v>185609.49849999999</v>
      </c>
      <c r="GI12" s="366">
        <v>138798.31</v>
      </c>
      <c r="GJ12" s="366">
        <v>100746.29000000015</v>
      </c>
      <c r="GK12" s="366">
        <f>SUM(GH12:GJ12)</f>
        <v>425154.09850000014</v>
      </c>
      <c r="GL12" s="21"/>
      <c r="GM12" s="256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8"/>
      <c r="HA12" s="17"/>
      <c r="HB12" s="17"/>
      <c r="HC12" s="237">
        <v>7</v>
      </c>
      <c r="HD12" s="261">
        <v>7</v>
      </c>
      <c r="HE12" s="261">
        <v>11</v>
      </c>
      <c r="HF12" s="261">
        <v>11</v>
      </c>
      <c r="HG12" s="262">
        <v>37772451</v>
      </c>
      <c r="HH12" s="262">
        <v>37538418</v>
      </c>
      <c r="HI12" s="264">
        <f t="shared" si="2"/>
        <v>1</v>
      </c>
      <c r="HJ12" s="264">
        <f t="shared" si="3"/>
        <v>0.99380413518836785</v>
      </c>
      <c r="HK12" s="265">
        <v>0.90909090909090906</v>
      </c>
      <c r="HL12" s="265">
        <v>9.0909090909090912E-2</v>
      </c>
      <c r="HM12" s="265">
        <v>0</v>
      </c>
      <c r="HN12" s="17"/>
      <c r="HO12" s="18"/>
      <c r="HP12" s="17"/>
      <c r="HQ12" s="377">
        <v>7</v>
      </c>
      <c r="HR12" s="272">
        <v>7</v>
      </c>
      <c r="HS12" s="268">
        <f t="shared" si="4"/>
        <v>0.99380413518836785</v>
      </c>
      <c r="HT12" s="244">
        <v>225.17999999999998</v>
      </c>
      <c r="HU12" s="245">
        <f t="shared" si="24"/>
        <v>223.78481516171666</v>
      </c>
      <c r="HV12" s="244">
        <v>4099747</v>
      </c>
      <c r="HW12" s="245">
        <v>4068017</v>
      </c>
      <c r="HX12" s="244">
        <v>1821016.8422999997</v>
      </c>
      <c r="HY12" s="245">
        <v>1878623</v>
      </c>
      <c r="HZ12" s="244">
        <v>247500</v>
      </c>
      <c r="IA12" s="244">
        <v>247500</v>
      </c>
      <c r="IB12" s="244">
        <f t="shared" si="25"/>
        <v>2068742.0222999996</v>
      </c>
      <c r="IC12" s="244">
        <f t="shared" si="25"/>
        <v>2126346.7848151615</v>
      </c>
      <c r="ID12" s="269"/>
      <c r="IE12" s="270"/>
      <c r="IF12" s="269"/>
      <c r="IG12" s="271">
        <v>7</v>
      </c>
      <c r="IH12" s="272">
        <v>7</v>
      </c>
      <c r="II12" s="273">
        <f t="shared" si="5"/>
        <v>1</v>
      </c>
      <c r="IJ12" s="274">
        <f t="shared" si="5"/>
        <v>0.99380413518836785</v>
      </c>
      <c r="IK12" s="244">
        <v>777866.50569125777</v>
      </c>
      <c r="IL12" s="245">
        <f t="shared" si="65"/>
        <v>773046.94998049806</v>
      </c>
      <c r="IM12" s="244">
        <v>125894.56508574568</v>
      </c>
      <c r="IN12" s="245">
        <f t="shared" si="26"/>
        <v>125114.53937995517</v>
      </c>
      <c r="IO12" s="244">
        <v>312709.25830874225</v>
      </c>
      <c r="IP12" s="245">
        <f t="shared" si="27"/>
        <v>312709.25830874225</v>
      </c>
      <c r="IQ12" s="244">
        <v>647946.9</v>
      </c>
      <c r="IR12" s="245">
        <v>647946.9</v>
      </c>
      <c r="IS12" s="244">
        <v>65060.75418510758</v>
      </c>
      <c r="IT12" s="245">
        <f t="shared" si="28"/>
        <v>64657.64654763382</v>
      </c>
      <c r="IU12" s="244">
        <v>55048.61</v>
      </c>
      <c r="IV12" s="245">
        <f t="shared" si="29"/>
        <v>54707.536254371742</v>
      </c>
      <c r="IW12" s="244">
        <v>108545.81</v>
      </c>
      <c r="IX12" s="245">
        <f t="shared" si="30"/>
        <v>107873.27483537089</v>
      </c>
      <c r="IY12" s="244">
        <v>260886.62759276986</v>
      </c>
      <c r="IZ12" s="245">
        <f t="shared" si="31"/>
        <v>259270.20931704243</v>
      </c>
      <c r="JA12" s="244">
        <f t="shared" si="32"/>
        <v>2353959.0308636231</v>
      </c>
      <c r="JB12" s="244">
        <f t="shared" si="32"/>
        <v>2345326.3146236143</v>
      </c>
      <c r="JC12" s="275">
        <f t="shared" si="6"/>
        <v>6.2478027566947922</v>
      </c>
      <c r="JD12" s="17"/>
      <c r="JE12" s="18"/>
      <c r="JF12" s="17"/>
      <c r="JG12" s="237">
        <v>7</v>
      </c>
      <c r="JH12" s="261">
        <v>7</v>
      </c>
      <c r="JI12" s="35">
        <f t="shared" si="7"/>
        <v>11</v>
      </c>
      <c r="JJ12" s="35">
        <f t="shared" si="33"/>
        <v>11</v>
      </c>
      <c r="JK12" s="243">
        <f t="shared" si="8"/>
        <v>37538418</v>
      </c>
      <c r="JL12" s="243">
        <f t="shared" si="9"/>
        <v>37351869.773096047</v>
      </c>
      <c r="JM12" s="277">
        <f t="shared" si="34"/>
        <v>1</v>
      </c>
      <c r="JN12" s="277">
        <f t="shared" si="35"/>
        <v>0.99503047179814685</v>
      </c>
      <c r="JO12" s="277">
        <f t="shared" si="36"/>
        <v>1.0264390888551458</v>
      </c>
      <c r="JP12" s="261" t="s">
        <v>241</v>
      </c>
      <c r="JQ12" s="278"/>
      <c r="JR12" s="279"/>
      <c r="JS12" s="278"/>
      <c r="JT12" s="237">
        <v>7</v>
      </c>
      <c r="JU12" s="261">
        <v>7</v>
      </c>
      <c r="JV12" s="280" t="str">
        <f t="shared" si="10"/>
        <v>Q3</v>
      </c>
      <c r="JW12" s="281">
        <f t="shared" si="11"/>
        <v>1.0264390888551458</v>
      </c>
      <c r="JX12" s="244">
        <f t="shared" si="37"/>
        <v>223.78481516171666</v>
      </c>
      <c r="JY12" s="244">
        <f t="shared" si="38"/>
        <v>229.70148177420967</v>
      </c>
      <c r="JZ12" s="244">
        <f t="shared" si="12"/>
        <v>4068017</v>
      </c>
      <c r="KA12" s="244">
        <f t="shared" si="39"/>
        <v>4115982.5167650222</v>
      </c>
      <c r="KB12" s="244">
        <f t="shared" si="13"/>
        <v>1878623</v>
      </c>
      <c r="KC12" s="244">
        <f t="shared" si="14"/>
        <v>2108485.0526505774</v>
      </c>
      <c r="KD12" s="244">
        <f t="shared" si="40"/>
        <v>247500</v>
      </c>
      <c r="KE12" s="244">
        <f t="shared" si="41"/>
        <v>79163.460849395211</v>
      </c>
      <c r="KF12" s="244">
        <f t="shared" si="42"/>
        <v>2126346.7848151615</v>
      </c>
      <c r="KG12" s="244">
        <f t="shared" si="42"/>
        <v>2187878.2149817464</v>
      </c>
      <c r="KH12" s="282"/>
      <c r="KI12" s="279"/>
      <c r="KJ12" s="278"/>
      <c r="KK12" s="324">
        <f t="shared" si="66"/>
        <v>7</v>
      </c>
      <c r="KL12" s="325">
        <v>6</v>
      </c>
      <c r="KM12" s="378">
        <f t="shared" si="67"/>
        <v>1</v>
      </c>
      <c r="KN12" s="378">
        <f t="shared" si="67"/>
        <v>0.99503047179814674</v>
      </c>
      <c r="KO12" s="330">
        <v>1.69933333</v>
      </c>
      <c r="KP12" s="300">
        <f t="shared" si="68"/>
        <v>483265.86140562233</v>
      </c>
      <c r="KQ12" s="330">
        <v>1.69933333</v>
      </c>
      <c r="KR12" s="300">
        <f t="shared" si="43"/>
        <v>23613.094285446306</v>
      </c>
      <c r="KS12" s="330">
        <v>1.69933333</v>
      </c>
      <c r="KT12" s="300">
        <f t="shared" si="44"/>
        <v>339532.50450799096</v>
      </c>
      <c r="KU12" s="330">
        <v>1.7150382799999999</v>
      </c>
      <c r="KV12" s="300">
        <f t="shared" si="69"/>
        <v>658176.0027694403</v>
      </c>
      <c r="KW12" s="330">
        <v>1.69933333</v>
      </c>
      <c r="KX12" s="300">
        <f t="shared" si="45"/>
        <v>41075.38010602539</v>
      </c>
      <c r="KY12" s="330">
        <v>1.69933333</v>
      </c>
      <c r="KZ12" s="300">
        <f t="shared" si="46"/>
        <v>36907.444618826034</v>
      </c>
      <c r="LA12" s="330">
        <v>1.69933333</v>
      </c>
      <c r="LB12" s="300">
        <f t="shared" si="47"/>
        <v>14937.853629080639</v>
      </c>
      <c r="LC12" s="330">
        <v>1.69933333</v>
      </c>
      <c r="LD12" s="300">
        <f t="shared" si="48"/>
        <v>154828.33990651355</v>
      </c>
      <c r="LE12" s="303">
        <f t="shared" si="49"/>
        <v>1707417.2003997851</v>
      </c>
      <c r="LF12" s="303">
        <f t="shared" si="70"/>
        <v>1752336.4812289453</v>
      </c>
      <c r="LG12" s="21"/>
      <c r="LH12" s="291"/>
      <c r="LI12" s="17"/>
      <c r="LJ12" s="237">
        <v>7</v>
      </c>
      <c r="LK12" s="292">
        <v>7</v>
      </c>
      <c r="LL12" s="244">
        <f t="shared" si="15"/>
        <v>2068742.0222999996</v>
      </c>
      <c r="LM12" s="244">
        <f t="shared" si="15"/>
        <v>2126346.7848151615</v>
      </c>
      <c r="LN12" s="245">
        <f t="shared" si="16"/>
        <v>2187878.2149817464</v>
      </c>
      <c r="LO12" s="244">
        <f t="shared" si="17"/>
        <v>2353959.0308636231</v>
      </c>
      <c r="LP12" s="244">
        <f t="shared" si="17"/>
        <v>2345326.3146236143</v>
      </c>
      <c r="LQ12" s="245">
        <f t="shared" si="50"/>
        <v>2407334.6054502595</v>
      </c>
      <c r="LR12" s="244">
        <f t="shared" si="51"/>
        <v>-285217.00856362353</v>
      </c>
      <c r="LS12" s="244">
        <f>LM12-LP12</f>
        <v>-218979.52980845282</v>
      </c>
      <c r="LT12" s="244">
        <f t="shared" si="51"/>
        <v>-219456.39046851313</v>
      </c>
      <c r="LU12" s="17"/>
      <c r="LV12" s="18"/>
      <c r="LW12" s="17"/>
      <c r="LX12" s="237">
        <f t="shared" si="71"/>
        <v>7</v>
      </c>
      <c r="LY12" s="444" t="s">
        <v>212</v>
      </c>
      <c r="LZ12" s="380">
        <f>LZ9/(1-LZ11)</f>
        <v>386599586.05500931</v>
      </c>
      <c r="MA12" s="17"/>
      <c r="MB12" s="18"/>
      <c r="MC12" s="17"/>
      <c r="MD12" s="294">
        <f>MD11+1</f>
        <v>6</v>
      </c>
      <c r="ME12" s="415" t="s">
        <v>208</v>
      </c>
      <c r="MF12" s="445">
        <f>N12</f>
        <v>131646158.88875991</v>
      </c>
      <c r="MG12" s="446">
        <f t="shared" si="52"/>
        <v>5.8882857904072274</v>
      </c>
      <c r="MH12" s="447">
        <f>MH9+MH10+MH11</f>
        <v>140233748.45500934</v>
      </c>
      <c r="MI12" s="446">
        <f t="shared" si="53"/>
        <v>6.2723925660521136</v>
      </c>
      <c r="MJ12" s="17"/>
      <c r="MK12" s="18"/>
      <c r="ML12" s="17"/>
      <c r="MM12" s="294">
        <f t="shared" si="81"/>
        <v>6</v>
      </c>
      <c r="MN12" s="415" t="str">
        <f>ME12</f>
        <v>Net Revenue</v>
      </c>
      <c r="MO12" s="448">
        <v>113922778.03156425</v>
      </c>
      <c r="MP12" s="445">
        <f>MF12</f>
        <v>131646158.88875991</v>
      </c>
      <c r="MQ12" s="445">
        <f t="shared" si="72"/>
        <v>17723380.85719566</v>
      </c>
      <c r="MR12" s="449">
        <f t="shared" si="73"/>
        <v>0.15557363648808753</v>
      </c>
      <c r="MS12" s="17"/>
      <c r="MT12" s="18"/>
      <c r="MU12" s="17"/>
    </row>
    <row r="13" spans="1:412" ht="17.25" thickBot="1" x14ac:dyDescent="0.35">
      <c r="B13" s="181">
        <f t="shared" si="74"/>
        <v>8</v>
      </c>
      <c r="C13" s="450" t="s">
        <v>209</v>
      </c>
      <c r="D13" s="6"/>
      <c r="E13" s="451"/>
      <c r="F13" s="297"/>
      <c r="G13" s="298"/>
      <c r="H13" s="297"/>
      <c r="I13" s="299"/>
      <c r="J13" s="300"/>
      <c r="K13" s="297"/>
      <c r="L13" s="299"/>
      <c r="M13" s="300"/>
      <c r="N13" s="297"/>
      <c r="O13" s="299"/>
      <c r="P13" s="300"/>
      <c r="Q13" s="297"/>
      <c r="R13" s="301"/>
      <c r="V13" s="230"/>
      <c r="W13" s="231" t="s">
        <v>25</v>
      </c>
      <c r="X13" s="383"/>
      <c r="Y13" s="384"/>
      <c r="Z13" s="384"/>
      <c r="AA13" s="384"/>
      <c r="AB13" s="234"/>
      <c r="AC13" s="309"/>
      <c r="AF13" s="385">
        <f t="shared" si="75"/>
        <v>7</v>
      </c>
      <c r="AG13" s="386" t="s">
        <v>189</v>
      </c>
      <c r="AH13" s="452">
        <f>IK26/AH11</f>
        <v>21.13920628565889</v>
      </c>
      <c r="AI13" s="452">
        <f>IM26/AI11</f>
        <v>16.483349068434837</v>
      </c>
      <c r="AJ13" s="452">
        <f>IO26/AJ11</f>
        <v>30.497193904895568</v>
      </c>
      <c r="AL13" s="437"/>
      <c r="AN13" s="294">
        <v>8</v>
      </c>
      <c r="AO13" s="23"/>
      <c r="AQ13" s="17" t="s">
        <v>47</v>
      </c>
      <c r="AR13" s="296"/>
      <c r="AS13" s="306">
        <v>12784699.6164</v>
      </c>
      <c r="AT13" s="307">
        <v>1.2467034624748656</v>
      </c>
      <c r="AU13" s="308"/>
      <c r="AV13" s="306">
        <v>13940512.122199997</v>
      </c>
      <c r="AW13" s="307">
        <v>1.2917708159017343</v>
      </c>
      <c r="AX13" s="309">
        <f t="shared" ref="AX13:AX20" si="85">AW13/AT13-1</f>
        <v>3.6149216540559026E-2</v>
      </c>
      <c r="AY13" s="308"/>
      <c r="AZ13" s="306">
        <v>16686157.735618668</v>
      </c>
      <c r="BA13" s="307">
        <v>1.2933634349589591</v>
      </c>
      <c r="BB13" s="309">
        <f t="shared" ref="BB13:BB20" si="86">BA13/AW13-1</f>
        <v>1.2328959886844792E-3</v>
      </c>
      <c r="BC13" s="308"/>
      <c r="BD13" s="306">
        <v>19121063.134010617</v>
      </c>
      <c r="BE13" s="307">
        <v>1.3002123037527811</v>
      </c>
      <c r="BF13" s="309">
        <f t="shared" ref="BF13:BF20" si="87">BE13/BA13-1</f>
        <v>5.2953938612307905E-3</v>
      </c>
      <c r="BG13" s="308"/>
      <c r="BH13" s="306">
        <v>21345531.913160004</v>
      </c>
      <c r="BI13" s="307">
        <v>1.4046426840756656</v>
      </c>
      <c r="BJ13" s="309">
        <f t="shared" ref="BJ13:BJ20" si="88">BI13/BE13-1</f>
        <v>8.0317945016724401E-2</v>
      </c>
      <c r="BK13" s="308"/>
      <c r="BL13" s="306">
        <v>23918047.727200001</v>
      </c>
      <c r="BM13" s="307">
        <v>1.4218898216681388</v>
      </c>
      <c r="BN13" s="309">
        <f t="shared" ref="BN13:BN20" si="89">BM13/BI13-1</f>
        <v>1.2278665448517856E-2</v>
      </c>
      <c r="BO13" s="308"/>
      <c r="BP13" s="306">
        <v>28535397.766300008</v>
      </c>
      <c r="BQ13" s="307">
        <v>1.5384698585450844</v>
      </c>
      <c r="BR13" s="309">
        <f t="shared" ref="BR13:BR20" si="90">BQ13/BM13-1</f>
        <v>8.1989500944718685E-2</v>
      </c>
      <c r="BS13" s="308"/>
      <c r="BT13" s="17">
        <v>32304174</v>
      </c>
      <c r="BU13" s="17">
        <v>1.65</v>
      </c>
      <c r="BV13" s="17">
        <f t="shared" ref="BV13:BV20" si="91">BU13/BQ13-1</f>
        <v>7.2494199893125222E-2</v>
      </c>
      <c r="BW13" s="310">
        <v>36103152.515199989</v>
      </c>
      <c r="BX13" s="311">
        <v>1.8651083200592218</v>
      </c>
      <c r="BY13" s="312">
        <f t="shared" si="60"/>
        <v>0.13036867882377079</v>
      </c>
      <c r="BZ13" s="312">
        <v>36687111.743471108</v>
      </c>
      <c r="CA13" s="312">
        <v>1.7984785294214409</v>
      </c>
      <c r="CB13" s="312">
        <f t="shared" si="61"/>
        <v>-3.5724354409434667E-2</v>
      </c>
      <c r="CC13" s="312">
        <v>37593268.407299995</v>
      </c>
      <c r="CD13" s="312">
        <v>1.8087697778034015</v>
      </c>
      <c r="CE13" s="313">
        <f>CD13/CA13-1</f>
        <v>5.722196964603965E-3</v>
      </c>
      <c r="CF13" s="297">
        <v>38001297.827399999</v>
      </c>
      <c r="CG13" s="312">
        <v>1.8264813004078884</v>
      </c>
      <c r="CH13" s="313">
        <f t="shared" ref="CH13:CH20" si="92">CG13/CD13-1</f>
        <v>9.7920270571947299E-3</v>
      </c>
      <c r="CI13" s="297">
        <f>F14</f>
        <v>39971566.937850013</v>
      </c>
      <c r="CJ13" s="312">
        <f>G14</f>
        <v>1.9023862611032269</v>
      </c>
      <c r="CK13" s="313">
        <f t="shared" ref="CK13:CK20" si="93">CJ13/CG13-1</f>
        <v>4.1558027820152166E-2</v>
      </c>
      <c r="CL13" s="314">
        <f t="shared" si="63"/>
        <v>2.1265159242830509</v>
      </c>
      <c r="CM13" s="313">
        <f>(CL13+1)^(1/(2023-2004))-1</f>
        <v>6.1832034383262124E-2</v>
      </c>
      <c r="DG13" s="17"/>
      <c r="DQ13" s="17"/>
      <c r="EC13" s="23"/>
      <c r="ED13" s="23"/>
      <c r="EE13" s="23"/>
      <c r="EF13" s="23"/>
      <c r="EH13" s="371"/>
      <c r="ET13" s="21"/>
      <c r="EU13" s="375"/>
      <c r="FK13" s="375"/>
      <c r="FM13" s="294">
        <f t="shared" si="79"/>
        <v>8</v>
      </c>
      <c r="FN13" s="321"/>
      <c r="FO13" s="322" t="s">
        <v>213</v>
      </c>
      <c r="FP13" s="303">
        <v>276022.12</v>
      </c>
      <c r="FQ13" s="303">
        <v>492569.24</v>
      </c>
      <c r="FR13" s="303">
        <v>834882.32440000016</v>
      </c>
      <c r="FS13" s="300">
        <f t="shared" si="23"/>
        <v>1603473.6844000001</v>
      </c>
      <c r="FT13" s="303">
        <v>279600.01266666671</v>
      </c>
      <c r="FU13" s="303">
        <v>492569.24</v>
      </c>
      <c r="FV13" s="303">
        <v>843737.32440000016</v>
      </c>
      <c r="FW13" s="303">
        <v>1615906.5770666667</v>
      </c>
      <c r="FX13" s="303">
        <v>1615906.5770666667</v>
      </c>
      <c r="FY13" s="21"/>
      <c r="FZ13" s="375"/>
      <c r="GB13" s="453">
        <v>8</v>
      </c>
      <c r="GC13" s="454" t="s">
        <v>89</v>
      </c>
      <c r="GD13" s="455">
        <f t="shared" ref="GD13:GK13" si="94">SUM(GD6:GD12)</f>
        <v>625404.0845</v>
      </c>
      <c r="GE13" s="455">
        <f t="shared" si="94"/>
        <v>864382.25</v>
      </c>
      <c r="GF13" s="455">
        <f t="shared" si="94"/>
        <v>1304447.29</v>
      </c>
      <c r="GG13" s="456">
        <f t="shared" si="94"/>
        <v>2794233.6245000004</v>
      </c>
      <c r="GH13" s="455">
        <f t="shared" si="94"/>
        <v>201042.87849999999</v>
      </c>
      <c r="GI13" s="455">
        <f t="shared" si="94"/>
        <v>176643.66</v>
      </c>
      <c r="GJ13" s="455">
        <f t="shared" si="94"/>
        <v>268661.38000000012</v>
      </c>
      <c r="GK13" s="456">
        <f t="shared" si="94"/>
        <v>646347.91850000015</v>
      </c>
      <c r="GM13" s="256"/>
      <c r="HC13" s="294">
        <v>8</v>
      </c>
      <c r="HD13" s="278">
        <v>8</v>
      </c>
      <c r="HE13" s="278">
        <v>10</v>
      </c>
      <c r="HF13" s="278">
        <v>9</v>
      </c>
      <c r="HG13" s="305">
        <v>40334021</v>
      </c>
      <c r="HH13" s="305">
        <v>36153609</v>
      </c>
      <c r="HI13" s="299">
        <f t="shared" si="2"/>
        <v>0.9</v>
      </c>
      <c r="HJ13" s="299">
        <f t="shared" si="3"/>
        <v>0.89635518858880947</v>
      </c>
      <c r="HK13" s="301">
        <v>1</v>
      </c>
      <c r="HL13" s="301">
        <v>0</v>
      </c>
      <c r="HM13" s="301">
        <v>0</v>
      </c>
      <c r="HQ13" s="324">
        <v>8</v>
      </c>
      <c r="HR13" s="325">
        <v>8</v>
      </c>
      <c r="HS13" s="326">
        <f t="shared" si="4"/>
        <v>0.89635518858880947</v>
      </c>
      <c r="HT13" s="303">
        <v>0</v>
      </c>
      <c r="HU13" s="300">
        <f t="shared" si="24"/>
        <v>0</v>
      </c>
      <c r="HV13" s="303">
        <v>4367268</v>
      </c>
      <c r="HW13" s="300">
        <v>3918744</v>
      </c>
      <c r="HX13" s="303">
        <v>1972697.2140000002</v>
      </c>
      <c r="HY13" s="300">
        <v>1856329</v>
      </c>
      <c r="HZ13" s="303">
        <v>225000</v>
      </c>
      <c r="IA13" s="303">
        <v>202500</v>
      </c>
      <c r="IB13" s="303">
        <f t="shared" si="25"/>
        <v>2197697.2140000002</v>
      </c>
      <c r="IC13" s="303">
        <f t="shared" si="25"/>
        <v>2058829</v>
      </c>
      <c r="ID13" s="269"/>
      <c r="IE13" s="270"/>
      <c r="IF13" s="269"/>
      <c r="IG13" s="327">
        <v>8</v>
      </c>
      <c r="IH13" s="325">
        <v>8</v>
      </c>
      <c r="II13" s="328">
        <f t="shared" si="5"/>
        <v>0.9</v>
      </c>
      <c r="IJ13" s="329">
        <f t="shared" si="5"/>
        <v>0.89635518858880947</v>
      </c>
      <c r="IK13" s="303">
        <v>619406.78447434108</v>
      </c>
      <c r="IL13" s="300">
        <f t="shared" si="65"/>
        <v>555208.48511068604</v>
      </c>
      <c r="IM13" s="303">
        <v>69728.776595354109</v>
      </c>
      <c r="IN13" s="300">
        <f t="shared" si="26"/>
        <v>62501.750695195595</v>
      </c>
      <c r="IO13" s="303">
        <v>461745.79152565903</v>
      </c>
      <c r="IP13" s="300">
        <f t="shared" si="27"/>
        <v>415571.21237309312</v>
      </c>
      <c r="IQ13" s="303">
        <v>542520.6</v>
      </c>
      <c r="IR13" s="300">
        <v>495211.8</v>
      </c>
      <c r="IS13" s="303">
        <v>106731.92526040754</v>
      </c>
      <c r="IT13" s="300">
        <f t="shared" si="28"/>
        <v>95669.714995239323</v>
      </c>
      <c r="IU13" s="303">
        <v>112668.98100000001</v>
      </c>
      <c r="IV13" s="300">
        <f t="shared" si="29"/>
        <v>100991.425712364</v>
      </c>
      <c r="IW13" s="303">
        <v>20431.859999999997</v>
      </c>
      <c r="IX13" s="300">
        <f t="shared" si="30"/>
        <v>18314.20372352015</v>
      </c>
      <c r="IY13" s="303">
        <v>245060.77659999998</v>
      </c>
      <c r="IZ13" s="300">
        <f t="shared" si="31"/>
        <v>219661.4986250131</v>
      </c>
      <c r="JA13" s="303">
        <f t="shared" si="32"/>
        <v>2178295.4954557619</v>
      </c>
      <c r="JB13" s="303">
        <f t="shared" si="32"/>
        <v>1963130.0912351112</v>
      </c>
      <c r="JC13" s="330">
        <f t="shared" si="6"/>
        <v>5.429969913197632</v>
      </c>
      <c r="JG13" s="294">
        <v>8</v>
      </c>
      <c r="JH13" s="278">
        <v>8</v>
      </c>
      <c r="JI13" s="17">
        <f t="shared" si="7"/>
        <v>9</v>
      </c>
      <c r="JJ13" s="17">
        <f t="shared" si="33"/>
        <v>9</v>
      </c>
      <c r="JK13" s="331">
        <f t="shared" si="8"/>
        <v>36153609</v>
      </c>
      <c r="JL13" s="331">
        <f t="shared" si="9"/>
        <v>35973942.620475724</v>
      </c>
      <c r="JM13" s="332">
        <f t="shared" si="34"/>
        <v>1</v>
      </c>
      <c r="JN13" s="332">
        <f t="shared" si="35"/>
        <v>0.99503047179814674</v>
      </c>
      <c r="JO13" s="332">
        <f t="shared" si="36"/>
        <v>1.0269447620011438</v>
      </c>
      <c r="JP13" s="278" t="s">
        <v>241</v>
      </c>
      <c r="JQ13" s="278"/>
      <c r="JR13" s="279"/>
      <c r="JS13" s="278"/>
      <c r="JT13" s="294">
        <v>8</v>
      </c>
      <c r="JU13" s="278">
        <v>8</v>
      </c>
      <c r="JV13" s="405" t="str">
        <f t="shared" si="10"/>
        <v>Q3</v>
      </c>
      <c r="JW13" s="334">
        <f t="shared" si="11"/>
        <v>1.0269447620011438</v>
      </c>
      <c r="JX13" s="319">
        <f t="shared" si="37"/>
        <v>0</v>
      </c>
      <c r="JY13" s="319">
        <f t="shared" si="38"/>
        <v>0</v>
      </c>
      <c r="JZ13" s="319">
        <f t="shared" si="12"/>
        <v>3918744</v>
      </c>
      <c r="KA13" s="319">
        <f t="shared" si="39"/>
        <v>3964142.0840366418</v>
      </c>
      <c r="KB13" s="319">
        <f t="shared" si="13"/>
        <v>1856329</v>
      </c>
      <c r="KC13" s="319">
        <f t="shared" si="14"/>
        <v>2030702.0976716015</v>
      </c>
      <c r="KD13" s="319">
        <f t="shared" si="40"/>
        <v>202500</v>
      </c>
      <c r="KE13" s="319">
        <f t="shared" si="41"/>
        <v>76243.085434123583</v>
      </c>
      <c r="KF13" s="319">
        <f t="shared" si="42"/>
        <v>2058829</v>
      </c>
      <c r="KG13" s="319">
        <f t="shared" si="42"/>
        <v>2106945.1831057249</v>
      </c>
      <c r="KH13" s="282"/>
      <c r="KI13" s="279"/>
      <c r="KJ13" s="278"/>
      <c r="KK13" s="335">
        <f t="shared" si="66"/>
        <v>8</v>
      </c>
      <c r="KL13" s="336">
        <v>7</v>
      </c>
      <c r="KM13" s="337">
        <f t="shared" si="67"/>
        <v>1</v>
      </c>
      <c r="KN13" s="337">
        <f t="shared" si="67"/>
        <v>0.99503047179814685</v>
      </c>
      <c r="KO13" s="275">
        <v>1.69933333</v>
      </c>
      <c r="KP13" s="245">
        <f t="shared" si="68"/>
        <v>793880.00799942273</v>
      </c>
      <c r="KQ13" s="275">
        <v>1.69933333</v>
      </c>
      <c r="KR13" s="245">
        <f t="shared" si="43"/>
        <v>128486.28602222494</v>
      </c>
      <c r="KS13" s="275">
        <v>1.69933333</v>
      </c>
      <c r="KT13" s="245">
        <f t="shared" si="44"/>
        <v>322740.41498483135</v>
      </c>
      <c r="KU13" s="275">
        <v>1.7150382799999999</v>
      </c>
      <c r="KV13" s="245">
        <f t="shared" si="69"/>
        <v>662608.17163494916</v>
      </c>
      <c r="KW13" s="275">
        <v>1.69933333</v>
      </c>
      <c r="KX13" s="245">
        <f t="shared" si="45"/>
        <v>66400.123510938516</v>
      </c>
      <c r="KY13" s="275">
        <v>1.69933333</v>
      </c>
      <c r="KZ13" s="245">
        <f t="shared" si="46"/>
        <v>56181.864918223917</v>
      </c>
      <c r="LA13" s="275">
        <v>1.69933333</v>
      </c>
      <c r="LB13" s="245">
        <f t="shared" si="47"/>
        <v>110780.38182724683</v>
      </c>
      <c r="LC13" s="275">
        <v>1.69933333</v>
      </c>
      <c r="LD13" s="338">
        <f t="shared" si="48"/>
        <v>266257.35455242166</v>
      </c>
      <c r="LE13" s="339">
        <f t="shared" si="49"/>
        <v>2345326.3146236143</v>
      </c>
      <c r="LF13" s="339">
        <f t="shared" si="70"/>
        <v>2407334.6054502595</v>
      </c>
      <c r="LG13" s="21"/>
      <c r="LH13" s="291"/>
      <c r="LJ13" s="294">
        <v>8</v>
      </c>
      <c r="LK13" s="340">
        <v>8</v>
      </c>
      <c r="LL13" s="303">
        <f t="shared" si="15"/>
        <v>2197697.2140000002</v>
      </c>
      <c r="LM13" s="303">
        <f t="shared" si="15"/>
        <v>2058829</v>
      </c>
      <c r="LN13" s="300">
        <f t="shared" si="16"/>
        <v>2106945.1831057249</v>
      </c>
      <c r="LO13" s="303">
        <f t="shared" si="17"/>
        <v>2178295.4954557619</v>
      </c>
      <c r="LP13" s="303">
        <f t="shared" si="17"/>
        <v>1963130.0912351112</v>
      </c>
      <c r="LQ13" s="300">
        <f t="shared" si="50"/>
        <v>2016026.164320725</v>
      </c>
      <c r="LR13" s="303">
        <f t="shared" si="51"/>
        <v>19401.718544238247</v>
      </c>
      <c r="LS13" s="303">
        <f t="shared" si="51"/>
        <v>95698.908764888765</v>
      </c>
      <c r="LT13" s="303">
        <f t="shared" si="51"/>
        <v>90919.018784999847</v>
      </c>
      <c r="LX13" s="910">
        <f t="shared" si="71"/>
        <v>8</v>
      </c>
      <c r="LY13" s="911" t="s">
        <v>214</v>
      </c>
      <c r="LZ13" s="912">
        <f>LZ12-LZ9</f>
        <v>22925355.453062057</v>
      </c>
      <c r="MD13" s="237">
        <f t="shared" si="80"/>
        <v>7</v>
      </c>
      <c r="ME13" s="239" t="s">
        <v>209</v>
      </c>
      <c r="MF13" s="244"/>
      <c r="MG13" s="341"/>
      <c r="MH13" s="342"/>
      <c r="MI13" s="341"/>
      <c r="MM13" s="237">
        <f t="shared" si="81"/>
        <v>7</v>
      </c>
      <c r="MN13" s="239" t="str">
        <f>ME13</f>
        <v>Expenses</v>
      </c>
      <c r="MO13" s="344"/>
      <c r="MP13" s="244"/>
      <c r="MQ13" s="244"/>
      <c r="MR13" s="361"/>
    </row>
    <row r="14" spans="1:412" s="35" customFormat="1" x14ac:dyDescent="0.3">
      <c r="B14" s="220">
        <f t="shared" si="74"/>
        <v>9</v>
      </c>
      <c r="C14" s="346"/>
      <c r="D14" s="35" t="s">
        <v>47</v>
      </c>
      <c r="E14" s="240"/>
      <c r="F14" s="342">
        <f>CV9</f>
        <v>39971566.937850013</v>
      </c>
      <c r="G14" s="347">
        <f t="shared" ref="G14:G22" si="95">F14/F$24*100</f>
        <v>1.9023862611032269</v>
      </c>
      <c r="H14" s="342">
        <f>CZ9</f>
        <v>39058884.424532928</v>
      </c>
      <c r="I14" s="264">
        <f t="shared" ref="I14:I22" si="96">H14/H$24*100</f>
        <v>1.8508506387461696</v>
      </c>
      <c r="J14" s="245">
        <f t="shared" si="54"/>
        <v>-912682.5133170858</v>
      </c>
      <c r="K14" s="342">
        <f>IL26</f>
        <v>41654252.2961182</v>
      </c>
      <c r="L14" s="264">
        <f t="shared" ref="L14:L22" si="97">K14/K$24*100</f>
        <v>1.8538577740438786</v>
      </c>
      <c r="M14" s="245">
        <f t="shared" si="55"/>
        <v>2595367.8715852723</v>
      </c>
      <c r="N14" s="342">
        <f>KP27</f>
        <v>42774511.97924985</v>
      </c>
      <c r="O14" s="264">
        <f t="shared" ref="O14:O22" si="98">N14/N$24*100</f>
        <v>1.9132236990814733</v>
      </c>
      <c r="P14" s="245">
        <f t="shared" si="56"/>
        <v>1120259.6831316501</v>
      </c>
      <c r="Q14" s="342">
        <f t="shared" si="57"/>
        <v>2802945.0413998365</v>
      </c>
      <c r="R14" s="265">
        <f t="shared" si="58"/>
        <v>5.6967600112720618E-3</v>
      </c>
      <c r="S14" s="17"/>
      <c r="T14" s="18"/>
      <c r="U14" s="17"/>
      <c r="V14" s="204">
        <f>V12+1</f>
        <v>6</v>
      </c>
      <c r="W14" s="302" t="s">
        <v>174</v>
      </c>
      <c r="X14" s="303">
        <f>SUMPRODUCT($LS$6:$LS$25,HK6:HK25)</f>
        <v>-1144419.0651614685</v>
      </c>
      <c r="Y14" s="303">
        <f>SUMPRODUCT($LS$6:$LS$25,HL6:HL25)</f>
        <v>1619758.0228687061</v>
      </c>
      <c r="Z14" s="303">
        <f>SUMPRODUCT($LS$6:$LS$25,HM6:HM25)</f>
        <v>8513784.3719522245</v>
      </c>
      <c r="AA14" s="303">
        <f>SUM(X14:Z14)</f>
        <v>8989123.329659462</v>
      </c>
      <c r="AB14" s="303"/>
      <c r="AC14" s="17"/>
      <c r="AD14" s="18"/>
      <c r="AE14" s="17"/>
      <c r="AF14" s="348">
        <f t="shared" si="75"/>
        <v>8</v>
      </c>
      <c r="AG14" s="236" t="s">
        <v>25</v>
      </c>
      <c r="AK14" s="17"/>
      <c r="AL14" s="437"/>
      <c r="AM14" s="17"/>
      <c r="AN14" s="237">
        <v>9</v>
      </c>
      <c r="AO14" s="353"/>
      <c r="AQ14" s="35" t="s">
        <v>215</v>
      </c>
      <c r="AR14" s="240"/>
      <c r="AS14" s="355">
        <v>936011.74</v>
      </c>
      <c r="AT14" s="356">
        <v>9.1275439563570718E-2</v>
      </c>
      <c r="AU14" s="357"/>
      <c r="AV14" s="355">
        <v>1523068.1600000001</v>
      </c>
      <c r="AW14" s="356">
        <v>0.14113218958319465</v>
      </c>
      <c r="AX14" s="345">
        <f t="shared" si="85"/>
        <v>0.54622306129679221</v>
      </c>
      <c r="AY14" s="357"/>
      <c r="AZ14" s="355">
        <v>2211207.06</v>
      </c>
      <c r="BA14" s="356">
        <v>0.17139322328365042</v>
      </c>
      <c r="BB14" s="345">
        <f t="shared" si="86"/>
        <v>0.2144162418922686</v>
      </c>
      <c r="BC14" s="357"/>
      <c r="BD14" s="355">
        <v>2871478.9273906099</v>
      </c>
      <c r="BE14" s="356">
        <v>0.19525756518837487</v>
      </c>
      <c r="BF14" s="345">
        <f t="shared" si="87"/>
        <v>0.13923737151048088</v>
      </c>
      <c r="BG14" s="357"/>
      <c r="BH14" s="355">
        <v>3068616.0090000001</v>
      </c>
      <c r="BI14" s="356">
        <v>0.20193027022305846</v>
      </c>
      <c r="BJ14" s="345">
        <f t="shared" si="88"/>
        <v>3.4173861731022326E-2</v>
      </c>
      <c r="BK14" s="357"/>
      <c r="BL14" s="355">
        <v>3403828.76</v>
      </c>
      <c r="BM14" s="356">
        <v>0.20235219545286309</v>
      </c>
      <c r="BN14" s="345">
        <f t="shared" si="89"/>
        <v>2.0894600365688465E-3</v>
      </c>
      <c r="BO14" s="357"/>
      <c r="BP14" s="355">
        <v>4538272.1100000003</v>
      </c>
      <c r="BQ14" s="356">
        <v>0.24467837835281422</v>
      </c>
      <c r="BR14" s="345">
        <f t="shared" si="90"/>
        <v>0.20917086076197666</v>
      </c>
      <c r="BS14" s="357"/>
      <c r="BT14" s="35">
        <v>5378012</v>
      </c>
      <c r="BU14" s="35">
        <v>0.27</v>
      </c>
      <c r="BV14" s="35">
        <f t="shared" si="91"/>
        <v>0.10348941258174138</v>
      </c>
      <c r="BW14" s="358">
        <v>1768561.8457999995</v>
      </c>
      <c r="BX14" s="359">
        <v>9.1364858283556505E-2</v>
      </c>
      <c r="BY14" s="360">
        <f t="shared" si="60"/>
        <v>-0.66161163598682782</v>
      </c>
      <c r="BZ14" s="360">
        <v>1718931.8145400002</v>
      </c>
      <c r="CA14" s="360">
        <v>8.4265613047061122E-2</v>
      </c>
      <c r="CB14" s="360">
        <f t="shared" si="61"/>
        <v>-7.7702142485269743E-2</v>
      </c>
      <c r="CC14" s="360">
        <v>2147244.1196499998</v>
      </c>
      <c r="CD14" s="360">
        <v>0.10331291834244472</v>
      </c>
      <c r="CE14" s="361">
        <f t="shared" ref="CE14:CE20" si="99">CD14/CA14-1</f>
        <v>0.22603888593020671</v>
      </c>
      <c r="CF14" s="342">
        <v>1804966.5518499999</v>
      </c>
      <c r="CG14" s="360">
        <v>8.6753291158353285E-2</v>
      </c>
      <c r="CH14" s="361">
        <f t="shared" si="92"/>
        <v>-0.16028612345652937</v>
      </c>
      <c r="CI14" s="342">
        <f>F15</f>
        <v>2692901.2786000008</v>
      </c>
      <c r="CJ14" s="360">
        <f>G15</f>
        <v>0.12816456264727827</v>
      </c>
      <c r="CK14" s="361">
        <f t="shared" si="93"/>
        <v>0.4773452503759863</v>
      </c>
      <c r="CL14" s="362">
        <f t="shared" si="63"/>
        <v>1.8769951951671042</v>
      </c>
      <c r="CM14" s="361">
        <f t="shared" ref="CM14:CM18" si="100">(CL14+1)^(1/(2023-2004))-1</f>
        <v>5.7194004205780358E-2</v>
      </c>
      <c r="CN14" s="17"/>
      <c r="CO14" s="18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8"/>
      <c r="DC14" s="17"/>
      <c r="DD14" s="17"/>
      <c r="DE14" s="17"/>
      <c r="DF14" s="17"/>
      <c r="DG14" s="17"/>
      <c r="DH14" s="17"/>
      <c r="DI14" s="17"/>
      <c r="DJ14" s="17"/>
      <c r="DK14" s="17"/>
      <c r="DL14" s="18"/>
      <c r="DM14" s="17"/>
      <c r="DN14" s="17"/>
      <c r="DO14" s="17"/>
      <c r="DP14" s="17"/>
      <c r="DQ14" s="17"/>
      <c r="DR14" s="17"/>
      <c r="DS14" s="17"/>
      <c r="DT14" s="17"/>
      <c r="DU14" s="18"/>
      <c r="DV14" s="17"/>
      <c r="DW14" s="17"/>
      <c r="DX14" s="22"/>
      <c r="DY14" s="23"/>
      <c r="DZ14" s="23"/>
      <c r="EA14" s="23"/>
      <c r="EB14" s="23"/>
      <c r="EC14" s="23"/>
      <c r="ED14" s="23"/>
      <c r="EE14" s="23"/>
      <c r="EF14" s="23"/>
      <c r="EG14" s="17"/>
      <c r="EH14" s="18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21"/>
      <c r="EU14" s="375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375"/>
      <c r="FL14" s="17"/>
      <c r="FM14" s="237">
        <f t="shared" si="79"/>
        <v>9</v>
      </c>
      <c r="FN14" s="373"/>
      <c r="FO14" s="374" t="s">
        <v>216</v>
      </c>
      <c r="FP14" s="244">
        <v>3127.355</v>
      </c>
      <c r="FQ14" s="244">
        <v>11447.7</v>
      </c>
      <c r="FR14" s="244">
        <v>38772.910000000003</v>
      </c>
      <c r="FS14" s="245">
        <f t="shared" si="23"/>
        <v>53347.965000000011</v>
      </c>
      <c r="FT14" s="244">
        <v>3200.355</v>
      </c>
      <c r="FU14" s="244">
        <v>11447.7</v>
      </c>
      <c r="FV14" s="244">
        <v>38772.910000000003</v>
      </c>
      <c r="FW14" s="244">
        <v>53420.965000000004</v>
      </c>
      <c r="FX14" s="244">
        <v>53420.965000000004</v>
      </c>
      <c r="FY14" s="21"/>
      <c r="FZ14" s="375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6"/>
      <c r="GM14" s="375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411"/>
      <c r="HA14" s="17"/>
      <c r="HB14" s="17"/>
      <c r="HC14" s="237">
        <v>9</v>
      </c>
      <c r="HD14" s="261">
        <v>9</v>
      </c>
      <c r="HE14" s="261">
        <v>11</v>
      </c>
      <c r="HF14" s="261">
        <v>14</v>
      </c>
      <c r="HG14" s="262">
        <v>53865307</v>
      </c>
      <c r="HH14" s="262">
        <v>69610411</v>
      </c>
      <c r="HI14" s="264">
        <f t="shared" si="2"/>
        <v>1.2727272727272727</v>
      </c>
      <c r="HJ14" s="264">
        <f t="shared" si="3"/>
        <v>1.2923051009437299</v>
      </c>
      <c r="HK14" s="265">
        <v>1</v>
      </c>
      <c r="HL14" s="265">
        <v>0</v>
      </c>
      <c r="HM14" s="265">
        <v>0</v>
      </c>
      <c r="HN14" s="17"/>
      <c r="HO14" s="18"/>
      <c r="HP14" s="17"/>
      <c r="HQ14" s="377">
        <v>9</v>
      </c>
      <c r="HR14" s="272">
        <v>9</v>
      </c>
      <c r="HS14" s="268">
        <f t="shared" si="4"/>
        <v>1.2923051009437299</v>
      </c>
      <c r="HT14" s="244">
        <v>49</v>
      </c>
      <c r="HU14" s="245">
        <f t="shared" si="24"/>
        <v>63.322949946242765</v>
      </c>
      <c r="HV14" s="244">
        <v>5855399</v>
      </c>
      <c r="HW14" s="245">
        <v>7558489</v>
      </c>
      <c r="HX14" s="244">
        <v>2682748.7847000002</v>
      </c>
      <c r="HY14" s="245">
        <v>3501341</v>
      </c>
      <c r="HZ14" s="244">
        <v>247500</v>
      </c>
      <c r="IA14" s="244">
        <v>315000</v>
      </c>
      <c r="IB14" s="244">
        <f t="shared" si="25"/>
        <v>2930297.7847000002</v>
      </c>
      <c r="IC14" s="244">
        <f t="shared" si="25"/>
        <v>3816404.3229499464</v>
      </c>
      <c r="ID14" s="269"/>
      <c r="IE14" s="270"/>
      <c r="IF14" s="269"/>
      <c r="IG14" s="271">
        <v>9</v>
      </c>
      <c r="IH14" s="272">
        <v>9</v>
      </c>
      <c r="II14" s="273">
        <f t="shared" si="5"/>
        <v>1.2727272727272727</v>
      </c>
      <c r="IJ14" s="274">
        <f t="shared" si="5"/>
        <v>1.2923051009437299</v>
      </c>
      <c r="IK14" s="244">
        <v>703454.47883061506</v>
      </c>
      <c r="IL14" s="245">
        <f t="shared" si="65"/>
        <v>909077.81127451686</v>
      </c>
      <c r="IM14" s="244">
        <v>54411.838243136008</v>
      </c>
      <c r="IN14" s="245">
        <f t="shared" si="26"/>
        <v>70316.696113329774</v>
      </c>
      <c r="IO14" s="244">
        <v>536545.82916938502</v>
      </c>
      <c r="IP14" s="245">
        <f t="shared" si="27"/>
        <v>682876.50985194452</v>
      </c>
      <c r="IQ14" s="244">
        <v>716492.7</v>
      </c>
      <c r="IR14" s="245">
        <v>881717.7</v>
      </c>
      <c r="IS14" s="244">
        <v>128311.79047395891</v>
      </c>
      <c r="IT14" s="245">
        <f t="shared" si="28"/>
        <v>165817.9813407202</v>
      </c>
      <c r="IU14" s="244">
        <v>89947.034000000043</v>
      </c>
      <c r="IV14" s="245">
        <f t="shared" si="29"/>
        <v>116239.01085295915</v>
      </c>
      <c r="IW14" s="244">
        <v>131187.514</v>
      </c>
      <c r="IX14" s="245">
        <f t="shared" si="30"/>
        <v>169534.29352232697</v>
      </c>
      <c r="IY14" s="244">
        <v>491535.32489999995</v>
      </c>
      <c r="IZ14" s="245">
        <f t="shared" si="31"/>
        <v>635213.60766230349</v>
      </c>
      <c r="JA14" s="244">
        <f t="shared" si="32"/>
        <v>2851886.5096170944</v>
      </c>
      <c r="JB14" s="244">
        <f t="shared" si="32"/>
        <v>3630793.6106181005</v>
      </c>
      <c r="JC14" s="275">
        <f t="shared" si="6"/>
        <v>5.2158772782107263</v>
      </c>
      <c r="JD14" s="17"/>
      <c r="JE14" s="18"/>
      <c r="JF14" s="17"/>
      <c r="JG14" s="237">
        <v>9</v>
      </c>
      <c r="JH14" s="261">
        <v>9</v>
      </c>
      <c r="JI14" s="35">
        <f t="shared" si="7"/>
        <v>14</v>
      </c>
      <c r="JJ14" s="35">
        <f t="shared" si="33"/>
        <v>14</v>
      </c>
      <c r="JK14" s="243">
        <f t="shared" si="8"/>
        <v>69610411</v>
      </c>
      <c r="JL14" s="243">
        <f t="shared" si="9"/>
        <v>69264480.099392906</v>
      </c>
      <c r="JM14" s="277">
        <f t="shared" si="34"/>
        <v>1</v>
      </c>
      <c r="JN14" s="277">
        <f t="shared" si="35"/>
        <v>0.99503047179814674</v>
      </c>
      <c r="JO14" s="277">
        <f t="shared" si="36"/>
        <v>1.0268643513763609</v>
      </c>
      <c r="JP14" s="261" t="s">
        <v>241</v>
      </c>
      <c r="JQ14" s="278"/>
      <c r="JR14" s="279"/>
      <c r="JS14" s="278"/>
      <c r="JT14" s="237">
        <v>9</v>
      </c>
      <c r="JU14" s="261">
        <v>9</v>
      </c>
      <c r="JV14" s="280" t="str">
        <f t="shared" si="10"/>
        <v>Q3</v>
      </c>
      <c r="JW14" s="281">
        <f t="shared" si="11"/>
        <v>1.0268643513763609</v>
      </c>
      <c r="JX14" s="244">
        <f t="shared" si="37"/>
        <v>63.322949946242765</v>
      </c>
      <c r="JY14" s="244">
        <f t="shared" si="38"/>
        <v>65.024079923786346</v>
      </c>
      <c r="JZ14" s="244">
        <f t="shared" si="12"/>
        <v>7558489</v>
      </c>
      <c r="KA14" s="244">
        <f t="shared" si="39"/>
        <v>7632586.8250715202</v>
      </c>
      <c r="KB14" s="244">
        <f t="shared" si="13"/>
        <v>3501341</v>
      </c>
      <c r="KC14" s="244">
        <f t="shared" si="14"/>
        <v>3909927.9863728769</v>
      </c>
      <c r="KD14" s="244">
        <f t="shared" si="40"/>
        <v>315000</v>
      </c>
      <c r="KE14" s="244">
        <f t="shared" si="41"/>
        <v>146798.96861686633</v>
      </c>
      <c r="KF14" s="244">
        <f t="shared" si="42"/>
        <v>3816404.3229499464</v>
      </c>
      <c r="KG14" s="244">
        <f t="shared" si="42"/>
        <v>4056791.9790696674</v>
      </c>
      <c r="KH14" s="282"/>
      <c r="KI14" s="279"/>
      <c r="KJ14" s="278"/>
      <c r="KK14" s="324">
        <f t="shared" si="66"/>
        <v>9</v>
      </c>
      <c r="KL14" s="325">
        <v>8</v>
      </c>
      <c r="KM14" s="378">
        <f t="shared" si="67"/>
        <v>1</v>
      </c>
      <c r="KN14" s="378">
        <f t="shared" si="67"/>
        <v>0.99503047179814674</v>
      </c>
      <c r="KO14" s="330">
        <v>1.69933333</v>
      </c>
      <c r="KP14" s="300">
        <f t="shared" si="68"/>
        <v>570170.95353928779</v>
      </c>
      <c r="KQ14" s="330">
        <v>1.69933333</v>
      </c>
      <c r="KR14" s="300">
        <f t="shared" si="43"/>
        <v>64186.127819444278</v>
      </c>
      <c r="KS14" s="330">
        <v>1.69933333</v>
      </c>
      <c r="KT14" s="300">
        <f t="shared" si="44"/>
        <v>428901.99753734632</v>
      </c>
      <c r="KU14" s="330">
        <v>1.7150382799999999</v>
      </c>
      <c r="KV14" s="300">
        <f t="shared" si="69"/>
        <v>506417.09277419507</v>
      </c>
      <c r="KW14" s="330">
        <v>1.69933333</v>
      </c>
      <c r="KX14" s="300">
        <f t="shared" si="45"/>
        <v>98247.944846867453</v>
      </c>
      <c r="KY14" s="330">
        <v>1.69933333</v>
      </c>
      <c r="KZ14" s="300">
        <f t="shared" si="46"/>
        <v>103713.07183144211</v>
      </c>
      <c r="LA14" s="330">
        <v>1.69933333</v>
      </c>
      <c r="LB14" s="300">
        <f t="shared" si="47"/>
        <v>18807.758311313461</v>
      </c>
      <c r="LC14" s="330">
        <v>1.69933333</v>
      </c>
      <c r="LD14" s="300">
        <f t="shared" si="48"/>
        <v>225581.21766082876</v>
      </c>
      <c r="LE14" s="303">
        <f t="shared" si="49"/>
        <v>1963130.0912351112</v>
      </c>
      <c r="LF14" s="303">
        <f t="shared" si="70"/>
        <v>2016026.164320725</v>
      </c>
      <c r="LG14" s="21"/>
      <c r="LH14" s="291"/>
      <c r="LI14" s="17"/>
      <c r="LJ14" s="237">
        <v>9</v>
      </c>
      <c r="LK14" s="292">
        <v>9</v>
      </c>
      <c r="LL14" s="244">
        <f t="shared" si="15"/>
        <v>2930297.7847000002</v>
      </c>
      <c r="LM14" s="244">
        <f t="shared" si="15"/>
        <v>3816404.3229499464</v>
      </c>
      <c r="LN14" s="245">
        <f t="shared" si="16"/>
        <v>4056791.9790696674</v>
      </c>
      <c r="LO14" s="244">
        <f t="shared" si="17"/>
        <v>2851886.5096170944</v>
      </c>
      <c r="LP14" s="244">
        <f t="shared" si="17"/>
        <v>3630793.6106181005</v>
      </c>
      <c r="LQ14" s="245">
        <f t="shared" si="50"/>
        <v>3728332.5259487913</v>
      </c>
      <c r="LR14" s="244">
        <f t="shared" si="51"/>
        <v>78411.275082905777</v>
      </c>
      <c r="LS14" s="244">
        <f t="shared" si="51"/>
        <v>185610.71233184589</v>
      </c>
      <c r="LT14" s="244">
        <f t="shared" si="51"/>
        <v>328459.4531208761</v>
      </c>
      <c r="LU14" s="17"/>
      <c r="LV14" s="18"/>
      <c r="LW14" s="17"/>
      <c r="LX14" s="6"/>
      <c r="LY14" s="17"/>
      <c r="LZ14" s="17"/>
      <c r="MA14" s="17"/>
      <c r="MB14" s="18"/>
      <c r="MC14" s="17"/>
      <c r="MD14" s="294">
        <f t="shared" si="80"/>
        <v>8</v>
      </c>
      <c r="ME14" s="304" t="s">
        <v>47</v>
      </c>
      <c r="MF14" s="303">
        <f>N14</f>
        <v>42774511.97924985</v>
      </c>
      <c r="MG14" s="381">
        <f t="shared" ref="MG14:MG21" si="101">MF14/$MF$34*100</f>
        <v>1.9132236990814733</v>
      </c>
      <c r="MH14" s="297">
        <f>MF14</f>
        <v>42774511.97924985</v>
      </c>
      <c r="MI14" s="381">
        <f t="shared" ref="MI14:MI21" si="102">MH14/$MI$34*100</f>
        <v>1.9132236990814733</v>
      </c>
      <c r="MJ14" s="17"/>
      <c r="MK14" s="18"/>
      <c r="ML14" s="17"/>
      <c r="MM14" s="294">
        <f t="shared" si="81"/>
        <v>8</v>
      </c>
      <c r="MN14" s="304" t="str">
        <f>ME14</f>
        <v>Direct Labour</v>
      </c>
      <c r="MO14" s="382">
        <v>40089535.8576314</v>
      </c>
      <c r="MP14" s="303">
        <f>MF14</f>
        <v>42774511.97924985</v>
      </c>
      <c r="MQ14" s="303">
        <f t="shared" si="72"/>
        <v>2684976.1216184497</v>
      </c>
      <c r="MR14" s="309">
        <f t="shared" si="73"/>
        <v>6.6974487585825734E-2</v>
      </c>
      <c r="MS14" s="17"/>
      <c r="MT14" s="18"/>
      <c r="MU14" s="17"/>
    </row>
    <row r="15" spans="1:412" x14ac:dyDescent="0.3">
      <c r="B15" s="181">
        <f t="shared" si="74"/>
        <v>10</v>
      </c>
      <c r="C15" s="295"/>
      <c r="D15" s="17" t="s">
        <v>48</v>
      </c>
      <c r="E15" s="296"/>
      <c r="F15" s="297">
        <f>DG9</f>
        <v>2692901.2786000008</v>
      </c>
      <c r="G15" s="298">
        <f t="shared" si="95"/>
        <v>0.12816456264727827</v>
      </c>
      <c r="H15" s="297">
        <f>DJ9</f>
        <v>2135514.2836399451</v>
      </c>
      <c r="I15" s="299">
        <f t="shared" si="96"/>
        <v>0.10119382655598785</v>
      </c>
      <c r="J15" s="300">
        <f t="shared" si="54"/>
        <v>-557386.99496005569</v>
      </c>
      <c r="K15" s="297">
        <f>IN26</f>
        <v>2201015.7596107447</v>
      </c>
      <c r="L15" s="299">
        <f t="shared" si="97"/>
        <v>9.7958070348743848E-2</v>
      </c>
      <c r="M15" s="300">
        <f t="shared" si="55"/>
        <v>65501.475970799569</v>
      </c>
      <c r="N15" s="297">
        <f>KR27</f>
        <v>2260251.5072260876</v>
      </c>
      <c r="O15" s="299">
        <f t="shared" si="98"/>
        <v>0.10109681091411037</v>
      </c>
      <c r="P15" s="300">
        <f t="shared" si="56"/>
        <v>59235.74761534296</v>
      </c>
      <c r="Q15" s="297">
        <f t="shared" si="57"/>
        <v>-432649.77137391316</v>
      </c>
      <c r="R15" s="301">
        <f t="shared" si="58"/>
        <v>-0.21119528810519228</v>
      </c>
      <c r="V15" s="348">
        <f t="shared" si="59"/>
        <v>7</v>
      </c>
      <c r="W15" s="349" t="s">
        <v>181</v>
      </c>
      <c r="X15" s="264">
        <f>X14/K$24*100</f>
        <v>-5.0933339665571897E-2</v>
      </c>
      <c r="Y15" s="264">
        <f>Y14/K$24*100</f>
        <v>7.2088702527134965E-2</v>
      </c>
      <c r="Z15" s="264">
        <f>Z14/K$24*100</f>
        <v>0.37891318351542652</v>
      </c>
      <c r="AA15" s="264">
        <f>AA14/K$24*100</f>
        <v>0.40006854637698963</v>
      </c>
      <c r="AB15" s="299"/>
      <c r="AC15" s="306"/>
      <c r="AF15" s="204">
        <f t="shared" si="75"/>
        <v>9</v>
      </c>
      <c r="AG15" s="304" t="s">
        <v>78</v>
      </c>
      <c r="AH15" s="24">
        <f>AH11*IL27</f>
        <v>1970473.807447396</v>
      </c>
      <c r="AI15" s="24">
        <f>AI11*IN27</f>
        <v>133529.64561222753</v>
      </c>
      <c r="AJ15" s="24">
        <f>AJ11*IP27</f>
        <v>595807.23345889093</v>
      </c>
      <c r="AL15" s="437"/>
      <c r="AN15" s="294">
        <v>10</v>
      </c>
      <c r="AO15" s="23"/>
      <c r="AQ15" s="17" t="s">
        <v>49</v>
      </c>
      <c r="AR15" s="296"/>
      <c r="AS15" s="306">
        <v>7353821.8799999999</v>
      </c>
      <c r="AT15" s="307">
        <v>0.71710994198556099</v>
      </c>
      <c r="AU15" s="308"/>
      <c r="AV15" s="306">
        <v>7828448.5450000018</v>
      </c>
      <c r="AW15" s="307">
        <v>0.72540816833517452</v>
      </c>
      <c r="AX15" s="309">
        <f t="shared" si="85"/>
        <v>1.1571763078109143E-2</v>
      </c>
      <c r="AY15" s="308"/>
      <c r="AZ15" s="306">
        <v>8035314.9274999993</v>
      </c>
      <c r="BA15" s="307">
        <v>0.62282657759036675</v>
      </c>
      <c r="BB15" s="309">
        <f t="shared" si="86"/>
        <v>-0.14141223551457172</v>
      </c>
      <c r="BC15" s="308"/>
      <c r="BD15" s="306">
        <v>8562729.5753158554</v>
      </c>
      <c r="BE15" s="307">
        <v>0.58225665955417472</v>
      </c>
      <c r="BF15" s="309">
        <f t="shared" si="87"/>
        <v>-6.5138386022561279E-2</v>
      </c>
      <c r="BG15" s="308"/>
      <c r="BH15" s="306">
        <v>11045828.998199999</v>
      </c>
      <c r="BI15" s="307">
        <v>0.72687075473189988</v>
      </c>
      <c r="BJ15" s="309">
        <f t="shared" si="88"/>
        <v>0.24836829739045663</v>
      </c>
      <c r="BK15" s="308"/>
      <c r="BL15" s="306">
        <v>11568330.944249999</v>
      </c>
      <c r="BM15" s="307">
        <v>0.68771883938552769</v>
      </c>
      <c r="BN15" s="309">
        <f t="shared" si="89"/>
        <v>-5.3863654702703045E-2</v>
      </c>
      <c r="BO15" s="308"/>
      <c r="BP15" s="306">
        <v>12592679.530000001</v>
      </c>
      <c r="BQ15" s="307">
        <v>0.67892720661852923</v>
      </c>
      <c r="BR15" s="309">
        <f t="shared" si="90"/>
        <v>-1.2783760257104038E-2</v>
      </c>
      <c r="BS15" s="308"/>
      <c r="BT15" s="17">
        <v>14006160</v>
      </c>
      <c r="BU15" s="17">
        <v>0.71</v>
      </c>
      <c r="BV15" s="17">
        <f t="shared" si="91"/>
        <v>4.5767488883281304E-2</v>
      </c>
      <c r="BW15" s="310">
        <v>14529003.2212</v>
      </c>
      <c r="BX15" s="311">
        <v>0.75057613815354784</v>
      </c>
      <c r="BY15" s="312">
        <f t="shared" si="60"/>
        <v>5.71494903571097E-2</v>
      </c>
      <c r="BZ15" s="312">
        <v>16169362.853399999</v>
      </c>
      <c r="CA15" s="312">
        <v>0.79265580047847906</v>
      </c>
      <c r="CB15" s="312">
        <f t="shared" si="61"/>
        <v>5.6063149607245899E-2</v>
      </c>
      <c r="CC15" s="312">
        <v>15891148.762050001</v>
      </c>
      <c r="CD15" s="312">
        <v>0.76458980113025976</v>
      </c>
      <c r="CE15" s="313">
        <f t="shared" si="99"/>
        <v>-3.5407549318730136E-2</v>
      </c>
      <c r="CF15" s="297">
        <v>16523554.25475</v>
      </c>
      <c r="CG15" s="312">
        <v>0.7941824250227445</v>
      </c>
      <c r="CH15" s="313">
        <f t="shared" si="92"/>
        <v>3.8703921826761523E-2</v>
      </c>
      <c r="CI15" s="297">
        <f>F16</f>
        <v>15760854.389050003</v>
      </c>
      <c r="CJ15" s="312">
        <f>G16</f>
        <v>0.75011402228981394</v>
      </c>
      <c r="CK15" s="313">
        <f t="shared" si="93"/>
        <v>-5.5489017818127206E-2</v>
      </c>
      <c r="CL15" s="314">
        <f t="shared" si="63"/>
        <v>1.143219491338836</v>
      </c>
      <c r="CM15" s="313">
        <f t="shared" si="100"/>
        <v>4.0937275102657988E-2</v>
      </c>
      <c r="DG15" s="17"/>
      <c r="DQ15" s="17"/>
      <c r="DX15" s="17"/>
      <c r="DY15" s="17"/>
      <c r="DZ15" s="17"/>
      <c r="EA15" s="17"/>
      <c r="EB15" s="17"/>
      <c r="ET15" s="24"/>
      <c r="EU15" s="375"/>
      <c r="FK15" s="375"/>
      <c r="FM15" s="294">
        <f t="shared" si="79"/>
        <v>10</v>
      </c>
      <c r="FN15" s="321"/>
      <c r="FO15" s="322" t="s">
        <v>217</v>
      </c>
      <c r="FP15" s="303">
        <v>49717.579999999994</v>
      </c>
      <c r="FQ15" s="303">
        <v>149865.03</v>
      </c>
      <c r="FR15" s="303">
        <v>323327.84380000003</v>
      </c>
      <c r="FS15" s="300">
        <f t="shared" si="23"/>
        <v>522910.45380000002</v>
      </c>
      <c r="FT15" s="303">
        <v>49764.673333333332</v>
      </c>
      <c r="FU15" s="303">
        <v>149865.03</v>
      </c>
      <c r="FV15" s="303">
        <v>323327.84380000003</v>
      </c>
      <c r="FW15" s="303">
        <v>522957.5471333334</v>
      </c>
      <c r="FX15" s="303">
        <v>522957.5471333334</v>
      </c>
      <c r="FY15" s="21"/>
      <c r="FZ15" s="375"/>
      <c r="HC15" s="294">
        <v>10</v>
      </c>
      <c r="HD15" s="278">
        <v>10</v>
      </c>
      <c r="HE15" s="278">
        <v>10</v>
      </c>
      <c r="HF15" s="278">
        <v>10</v>
      </c>
      <c r="HG15" s="305">
        <v>62164889</v>
      </c>
      <c r="HH15" s="305">
        <v>62307146</v>
      </c>
      <c r="HI15" s="299">
        <f t="shared" si="2"/>
        <v>1</v>
      </c>
      <c r="HJ15" s="299">
        <f t="shared" si="3"/>
        <v>1.0022883817905635</v>
      </c>
      <c r="HK15" s="301">
        <v>0.4</v>
      </c>
      <c r="HL15" s="301">
        <v>0.6</v>
      </c>
      <c r="HM15" s="301">
        <v>0</v>
      </c>
      <c r="HQ15" s="324">
        <v>10</v>
      </c>
      <c r="HR15" s="325">
        <v>10</v>
      </c>
      <c r="HS15" s="326">
        <f t="shared" si="4"/>
        <v>1.0022883817905635</v>
      </c>
      <c r="HT15" s="303">
        <v>4300</v>
      </c>
      <c r="HU15" s="300">
        <f t="shared" si="24"/>
        <v>4309.8400416994227</v>
      </c>
      <c r="HV15" s="303">
        <v>6776260</v>
      </c>
      <c r="HW15" s="300">
        <v>6777056</v>
      </c>
      <c r="HX15" s="303">
        <v>3200801.0975999995</v>
      </c>
      <c r="HY15" s="300">
        <v>3135912</v>
      </c>
      <c r="HZ15" s="303">
        <v>225000</v>
      </c>
      <c r="IA15" s="303">
        <v>225000</v>
      </c>
      <c r="IB15" s="303">
        <f t="shared" si="25"/>
        <v>3430101.0975999995</v>
      </c>
      <c r="IC15" s="303">
        <f t="shared" si="25"/>
        <v>3365221.8400416994</v>
      </c>
      <c r="ID15" s="269"/>
      <c r="IE15" s="270"/>
      <c r="IF15" s="269"/>
      <c r="IG15" s="327">
        <v>10</v>
      </c>
      <c r="IH15" s="325">
        <v>10</v>
      </c>
      <c r="II15" s="328">
        <f t="shared" si="5"/>
        <v>1</v>
      </c>
      <c r="IJ15" s="329">
        <f t="shared" si="5"/>
        <v>1.0022883817905635</v>
      </c>
      <c r="IK15" s="303">
        <v>776569.34115478944</v>
      </c>
      <c r="IL15" s="300">
        <f t="shared" si="65"/>
        <v>778346.42829419789</v>
      </c>
      <c r="IM15" s="303">
        <v>87157.118332194703</v>
      </c>
      <c r="IN15" s="300">
        <f t="shared" si="26"/>
        <v>87356.567094704078</v>
      </c>
      <c r="IO15" s="303">
        <v>503109.79524521041</v>
      </c>
      <c r="IP15" s="300">
        <f t="shared" si="27"/>
        <v>503109.79524521041</v>
      </c>
      <c r="IQ15" s="303">
        <v>781429.10000000009</v>
      </c>
      <c r="IR15" s="300">
        <v>755303.9</v>
      </c>
      <c r="IS15" s="303">
        <v>64274.009913621514</v>
      </c>
      <c r="IT15" s="300">
        <f t="shared" si="28"/>
        <v>64421.093387514338</v>
      </c>
      <c r="IU15" s="303">
        <v>104268.24680000001</v>
      </c>
      <c r="IV15" s="300">
        <f t="shared" si="29"/>
        <v>104506.8523573111</v>
      </c>
      <c r="IW15" s="303">
        <v>120773.12999999999</v>
      </c>
      <c r="IX15" s="300">
        <f t="shared" si="30"/>
        <v>121049.50503148134</v>
      </c>
      <c r="IY15" s="303">
        <v>421043.093961076</v>
      </c>
      <c r="IZ15" s="300">
        <f t="shared" si="31"/>
        <v>422006.601310339</v>
      </c>
      <c r="JA15" s="303">
        <f t="shared" si="32"/>
        <v>2858623.835406892</v>
      </c>
      <c r="JB15" s="303">
        <f t="shared" si="32"/>
        <v>2836100.7427207581</v>
      </c>
      <c r="JC15" s="330">
        <f t="shared" si="6"/>
        <v>4.551806533909863</v>
      </c>
      <c r="JG15" s="294">
        <v>10</v>
      </c>
      <c r="JH15" s="278">
        <v>10</v>
      </c>
      <c r="JI15" s="17">
        <f t="shared" si="7"/>
        <v>10</v>
      </c>
      <c r="JJ15" s="17">
        <f t="shared" si="33"/>
        <v>10</v>
      </c>
      <c r="JK15" s="331">
        <f t="shared" si="8"/>
        <v>62307146</v>
      </c>
      <c r="JL15" s="331">
        <f t="shared" si="9"/>
        <v>61997508.88077601</v>
      </c>
      <c r="JM15" s="332">
        <f t="shared" si="34"/>
        <v>1</v>
      </c>
      <c r="JN15" s="332">
        <f t="shared" si="35"/>
        <v>0.99503047179814674</v>
      </c>
      <c r="JO15" s="332">
        <f t="shared" si="36"/>
        <v>1.0267081004687304</v>
      </c>
      <c r="JP15" s="278" t="s">
        <v>241</v>
      </c>
      <c r="JQ15" s="278"/>
      <c r="JR15" s="279"/>
      <c r="JS15" s="278"/>
      <c r="JT15" s="294">
        <v>10</v>
      </c>
      <c r="JU15" s="278">
        <v>10</v>
      </c>
      <c r="JV15" s="405" t="str">
        <f t="shared" si="10"/>
        <v>Q3</v>
      </c>
      <c r="JW15" s="334">
        <f t="shared" si="11"/>
        <v>1.0267081004687304</v>
      </c>
      <c r="JX15" s="319">
        <f t="shared" si="37"/>
        <v>4309.8400416994227</v>
      </c>
      <c r="JY15" s="319">
        <f t="shared" si="38"/>
        <v>4424.9476825372885</v>
      </c>
      <c r="JZ15" s="319">
        <f t="shared" si="12"/>
        <v>6777056</v>
      </c>
      <c r="KA15" s="319">
        <f t="shared" si="39"/>
        <v>6831804.2493299991</v>
      </c>
      <c r="KB15" s="319">
        <f t="shared" si="13"/>
        <v>3135912</v>
      </c>
      <c r="KC15" s="319">
        <f t="shared" si="14"/>
        <v>3499712.9078353071</v>
      </c>
      <c r="KD15" s="319">
        <f t="shared" si="40"/>
        <v>225000</v>
      </c>
      <c r="KE15" s="319">
        <f t="shared" si="41"/>
        <v>131397.36770496168</v>
      </c>
      <c r="KF15" s="319">
        <f t="shared" si="42"/>
        <v>3365221.8400416994</v>
      </c>
      <c r="KG15" s="319">
        <f t="shared" si="42"/>
        <v>3635535.2232228061</v>
      </c>
      <c r="KH15" s="282"/>
      <c r="KI15" s="279"/>
      <c r="KJ15" s="278"/>
      <c r="KK15" s="335">
        <f t="shared" si="66"/>
        <v>10</v>
      </c>
      <c r="KL15" s="336">
        <v>9</v>
      </c>
      <c r="KM15" s="337">
        <f t="shared" si="67"/>
        <v>1</v>
      </c>
      <c r="KN15" s="337">
        <f t="shared" si="67"/>
        <v>0.99503047179814674</v>
      </c>
      <c r="KO15" s="275">
        <v>1.69933333</v>
      </c>
      <c r="KP15" s="245">
        <f t="shared" si="68"/>
        <v>933576.80294181046</v>
      </c>
      <c r="KQ15" s="275">
        <v>1.69933333</v>
      </c>
      <c r="KR15" s="245">
        <f t="shared" si="43"/>
        <v>72211.680382868697</v>
      </c>
      <c r="KS15" s="275">
        <v>1.69933333</v>
      </c>
      <c r="KT15" s="245">
        <f t="shared" si="44"/>
        <v>704781.97340551356</v>
      </c>
      <c r="KU15" s="275">
        <v>1.7150382799999999</v>
      </c>
      <c r="KV15" s="245">
        <f t="shared" si="69"/>
        <v>901668.56743225816</v>
      </c>
      <c r="KW15" s="275">
        <v>1.69933333</v>
      </c>
      <c r="KX15" s="245">
        <f t="shared" si="45"/>
        <v>170286.65640106334</v>
      </c>
      <c r="KY15" s="275">
        <v>1.69933333</v>
      </c>
      <c r="KZ15" s="245">
        <f t="shared" si="46"/>
        <v>119371.56839972032</v>
      </c>
      <c r="LA15" s="275">
        <v>1.69933333</v>
      </c>
      <c r="LB15" s="245">
        <f t="shared" si="47"/>
        <v>174103.12051690617</v>
      </c>
      <c r="LC15" s="275">
        <v>1.69933333</v>
      </c>
      <c r="LD15" s="338">
        <f t="shared" si="48"/>
        <v>652332.15646865091</v>
      </c>
      <c r="LE15" s="339">
        <f t="shared" si="49"/>
        <v>3630793.6106181005</v>
      </c>
      <c r="LF15" s="339">
        <f t="shared" si="70"/>
        <v>3728332.5259487913</v>
      </c>
      <c r="LG15" s="21"/>
      <c r="LH15" s="291"/>
      <c r="LJ15" s="294">
        <v>10</v>
      </c>
      <c r="LK15" s="340">
        <v>10</v>
      </c>
      <c r="LL15" s="303">
        <f t="shared" si="15"/>
        <v>3430101.0975999995</v>
      </c>
      <c r="LM15" s="303">
        <f t="shared" si="15"/>
        <v>3365221.8400416994</v>
      </c>
      <c r="LN15" s="300">
        <f t="shared" si="16"/>
        <v>3635535.2232228061</v>
      </c>
      <c r="LO15" s="303">
        <f t="shared" si="17"/>
        <v>2858623.835406892</v>
      </c>
      <c r="LP15" s="303">
        <f t="shared" si="17"/>
        <v>2836100.7427207581</v>
      </c>
      <c r="LQ15" s="300">
        <f t="shared" si="50"/>
        <v>2911847.6062967852</v>
      </c>
      <c r="LR15" s="303">
        <f t="shared" si="51"/>
        <v>571477.26219310751</v>
      </c>
      <c r="LS15" s="303">
        <f t="shared" si="51"/>
        <v>529121.09732094128</v>
      </c>
      <c r="LT15" s="303">
        <f t="shared" si="51"/>
        <v>723687.61692602094</v>
      </c>
      <c r="MD15" s="237">
        <f t="shared" si="80"/>
        <v>9</v>
      </c>
      <c r="ME15" s="351" t="s">
        <v>58</v>
      </c>
      <c r="MF15" s="244">
        <f>N15</f>
        <v>2260251.5072260876</v>
      </c>
      <c r="MG15" s="341">
        <f t="shared" si="101"/>
        <v>0.10109681091411037</v>
      </c>
      <c r="MH15" s="342">
        <f>MF15</f>
        <v>2260251.5072260876</v>
      </c>
      <c r="MI15" s="341">
        <f t="shared" si="102"/>
        <v>0.10109681091411037</v>
      </c>
      <c r="MM15" s="237">
        <f t="shared" si="81"/>
        <v>9</v>
      </c>
      <c r="MN15" s="351" t="str">
        <f>ME15</f>
        <v>Contract Labour</v>
      </c>
      <c r="MO15" s="344">
        <v>1994855.5644364771</v>
      </c>
      <c r="MP15" s="244">
        <f>MF15</f>
        <v>2260251.5072260876</v>
      </c>
      <c r="MQ15" s="244">
        <f t="shared" si="72"/>
        <v>265395.94278961048</v>
      </c>
      <c r="MR15" s="361">
        <f t="shared" si="73"/>
        <v>0.13304017971074594</v>
      </c>
    </row>
    <row r="16" spans="1:412" s="35" customFormat="1" x14ac:dyDescent="0.3">
      <c r="B16" s="220">
        <f t="shared" si="74"/>
        <v>11</v>
      </c>
      <c r="C16" s="346"/>
      <c r="D16" s="35" t="s">
        <v>49</v>
      </c>
      <c r="E16" s="240"/>
      <c r="F16" s="342">
        <f>DQ9</f>
        <v>15760854.389050003</v>
      </c>
      <c r="G16" s="347">
        <f t="shared" si="95"/>
        <v>0.75011402228981394</v>
      </c>
      <c r="H16" s="342">
        <f>DS9</f>
        <v>17188216.339967079</v>
      </c>
      <c r="I16" s="264">
        <f t="shared" si="96"/>
        <v>0.81448361007857539</v>
      </c>
      <c r="J16" s="245">
        <f t="shared" si="54"/>
        <v>1427361.9509170763</v>
      </c>
      <c r="K16" s="342">
        <f>IP26</f>
        <v>18170448.728735182</v>
      </c>
      <c r="L16" s="264">
        <f t="shared" si="97"/>
        <v>0.80869120862290944</v>
      </c>
      <c r="M16" s="245">
        <f t="shared" si="55"/>
        <v>982232.38876810297</v>
      </c>
      <c r="N16" s="342">
        <f>KT27</f>
        <v>18738346.045075003</v>
      </c>
      <c r="O16" s="264">
        <f t="shared" si="98"/>
        <v>0.83813107563724953</v>
      </c>
      <c r="P16" s="245">
        <f t="shared" si="56"/>
        <v>567897.31633982062</v>
      </c>
      <c r="Q16" s="342">
        <f t="shared" si="57"/>
        <v>2977491.6560249999</v>
      </c>
      <c r="R16" s="265">
        <f t="shared" si="58"/>
        <v>0.11733823223135187</v>
      </c>
      <c r="S16" s="17"/>
      <c r="T16" s="18"/>
      <c r="U16" s="17"/>
      <c r="V16" s="204">
        <f t="shared" si="59"/>
        <v>8</v>
      </c>
      <c r="W16" s="436" t="s">
        <v>134</v>
      </c>
      <c r="X16" s="303">
        <f>X14-X10</f>
        <v>940450.509780108</v>
      </c>
      <c r="Y16" s="303">
        <f t="shared" ref="Y16:AA16" si="103">Y14-Y10</f>
        <v>-1237795.6809533571</v>
      </c>
      <c r="Z16" s="303">
        <f t="shared" si="103"/>
        <v>-4054470.4497295953</v>
      </c>
      <c r="AA16" s="303">
        <f t="shared" si="103"/>
        <v>-4351815.6209028438</v>
      </c>
      <c r="AB16" s="303"/>
      <c r="AC16" s="307"/>
      <c r="AD16" s="18"/>
      <c r="AE16" s="17"/>
      <c r="AF16" s="348">
        <f t="shared" si="75"/>
        <v>10</v>
      </c>
      <c r="AG16" s="351" t="s">
        <v>182</v>
      </c>
      <c r="AH16" s="352">
        <f>AH15*3600/$K$24</f>
        <v>3.1571137990576372</v>
      </c>
      <c r="AI16" s="352">
        <f>AI15*3600/$K$24</f>
        <v>0.21394259855285788</v>
      </c>
      <c r="AJ16" s="352">
        <f>AJ15*3600/$K$24</f>
        <v>0.95460859780123519</v>
      </c>
      <c r="AK16" s="17"/>
      <c r="AL16" s="437"/>
      <c r="AM16" s="17"/>
      <c r="AN16" s="237">
        <f>AN15+1</f>
        <v>11</v>
      </c>
      <c r="AO16" s="353"/>
      <c r="AP16" s="353"/>
      <c r="AQ16" s="353" t="s">
        <v>50</v>
      </c>
      <c r="AR16" s="240"/>
      <c r="AS16" s="355">
        <v>3443976.8344000001</v>
      </c>
      <c r="AT16" s="356">
        <v>0.33584033829171284</v>
      </c>
      <c r="AU16" s="357"/>
      <c r="AV16" s="355">
        <v>5716425.9886499979</v>
      </c>
      <c r="AW16" s="356">
        <v>0.52970164931322072</v>
      </c>
      <c r="AX16" s="345">
        <f t="shared" si="85"/>
        <v>0.57724248375762066</v>
      </c>
      <c r="AY16" s="357"/>
      <c r="AZ16" s="355">
        <v>7023487.4984412417</v>
      </c>
      <c r="BA16" s="356">
        <v>0.54439866027303074</v>
      </c>
      <c r="BB16" s="345">
        <f t="shared" si="86"/>
        <v>2.7745828201338085E-2</v>
      </c>
      <c r="BC16" s="357"/>
      <c r="BD16" s="355">
        <v>8390599.8471698686</v>
      </c>
      <c r="BE16" s="356">
        <v>0.57055201798647071</v>
      </c>
      <c r="BF16" s="345">
        <f t="shared" si="87"/>
        <v>4.8040819388356581E-2</v>
      </c>
      <c r="BG16" s="357"/>
      <c r="BH16" s="355">
        <v>9500186.8885000013</v>
      </c>
      <c r="BI16" s="356">
        <v>0.62515977885076657</v>
      </c>
      <c r="BJ16" s="345">
        <f t="shared" si="88"/>
        <v>9.5710398250822948E-2</v>
      </c>
      <c r="BK16" s="357"/>
      <c r="BL16" s="355">
        <v>10661854.069499999</v>
      </c>
      <c r="BM16" s="356">
        <v>0.63383023373989222</v>
      </c>
      <c r="BN16" s="345">
        <f t="shared" si="89"/>
        <v>1.386918221940725E-2</v>
      </c>
      <c r="BO16" s="357"/>
      <c r="BP16" s="355">
        <v>13069899.7289</v>
      </c>
      <c r="BQ16" s="356">
        <v>0.70465626418798799</v>
      </c>
      <c r="BR16" s="345">
        <f t="shared" si="90"/>
        <v>0.11174290319063718</v>
      </c>
      <c r="BS16" s="357"/>
      <c r="BT16" s="35">
        <v>15592449</v>
      </c>
      <c r="BU16" s="35">
        <v>0.79</v>
      </c>
      <c r="BV16" s="35">
        <f t="shared" si="91"/>
        <v>0.12111399578680837</v>
      </c>
      <c r="BW16" s="358">
        <v>21298745.488500003</v>
      </c>
      <c r="BX16" s="359">
        <v>1.100304672859262</v>
      </c>
      <c r="BY16" s="360">
        <f t="shared" si="60"/>
        <v>0.39279072513830626</v>
      </c>
      <c r="BZ16" s="360">
        <v>23700279.210100003</v>
      </c>
      <c r="CA16" s="360">
        <v>1.1618369851162706</v>
      </c>
      <c r="CB16" s="360">
        <f t="shared" si="61"/>
        <v>5.5922976403535829E-2</v>
      </c>
      <c r="CC16" s="360">
        <v>24697713.659500003</v>
      </c>
      <c r="CD16" s="360">
        <v>1.1883105657147701</v>
      </c>
      <c r="CE16" s="361">
        <f t="shared" si="99"/>
        <v>2.2785968201769924E-2</v>
      </c>
      <c r="CF16" s="342">
        <v>25788943.3565</v>
      </c>
      <c r="CG16" s="360">
        <v>1.2395108980715628</v>
      </c>
      <c r="CH16" s="361">
        <f t="shared" si="92"/>
        <v>4.30866591899699E-2</v>
      </c>
      <c r="CI16" s="342">
        <f>F17</f>
        <v>24728670.326400001</v>
      </c>
      <c r="CJ16" s="360">
        <f>G17</f>
        <v>1.1769236556935634</v>
      </c>
      <c r="CK16" s="361">
        <f t="shared" si="93"/>
        <v>-5.0493499069167447E-2</v>
      </c>
      <c r="CL16" s="362">
        <f t="shared" si="63"/>
        <v>6.1802661618971548</v>
      </c>
      <c r="CM16" s="361">
        <f t="shared" si="100"/>
        <v>0.10932813703835587</v>
      </c>
      <c r="CN16" s="17"/>
      <c r="CO16" s="18"/>
      <c r="CP16" s="17"/>
      <c r="CQ16" s="17"/>
      <c r="CR16" s="17"/>
      <c r="CS16" s="17"/>
      <c r="CT16" s="246"/>
      <c r="CU16" s="17"/>
      <c r="CV16" s="17"/>
      <c r="CW16" s="17"/>
      <c r="CX16" s="17"/>
      <c r="CY16" s="17"/>
      <c r="CZ16" s="17"/>
      <c r="DA16" s="17"/>
      <c r="DB16" s="18"/>
      <c r="DC16" s="17"/>
      <c r="DD16" s="17"/>
      <c r="DE16" s="17"/>
      <c r="DF16" s="17"/>
      <c r="DG16" s="17"/>
      <c r="DH16" s="17"/>
      <c r="DI16" s="17"/>
      <c r="DJ16" s="17"/>
      <c r="DK16" s="17"/>
      <c r="DL16" s="18"/>
      <c r="DM16" s="17"/>
      <c r="DN16" s="17"/>
      <c r="DO16" s="17"/>
      <c r="DP16" s="17"/>
      <c r="DQ16" s="17"/>
      <c r="DR16" s="17"/>
      <c r="DS16" s="17"/>
      <c r="DT16" s="17"/>
      <c r="DU16" s="18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8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460"/>
      <c r="EU16" s="375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375"/>
      <c r="FL16" s="17"/>
      <c r="FM16" s="237">
        <f t="shared" si="79"/>
        <v>11</v>
      </c>
      <c r="FN16" s="373"/>
      <c r="FO16" s="374" t="s">
        <v>218</v>
      </c>
      <c r="FP16" s="244">
        <v>105942.137</v>
      </c>
      <c r="FQ16" s="244">
        <v>167778.97000000003</v>
      </c>
      <c r="FR16" s="244">
        <v>551104.19140000001</v>
      </c>
      <c r="FS16" s="245">
        <f t="shared" si="23"/>
        <v>824825.29839999997</v>
      </c>
      <c r="FT16" s="244">
        <v>106498.85726666667</v>
      </c>
      <c r="FU16" s="244">
        <v>167778.97000000003</v>
      </c>
      <c r="FV16" s="244">
        <v>556330.85806666664</v>
      </c>
      <c r="FW16" s="244">
        <v>830608.68533333333</v>
      </c>
      <c r="FX16" s="244">
        <v>830608.68533333333</v>
      </c>
      <c r="FY16" s="21"/>
      <c r="FZ16" s="375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8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8"/>
      <c r="HA16" s="17"/>
      <c r="HB16" s="17"/>
      <c r="HC16" s="237">
        <v>11</v>
      </c>
      <c r="HD16" s="261">
        <v>11</v>
      </c>
      <c r="HE16" s="261">
        <v>11</v>
      </c>
      <c r="HF16" s="261">
        <v>12</v>
      </c>
      <c r="HG16" s="262">
        <v>84321547</v>
      </c>
      <c r="HH16" s="262">
        <v>91002665</v>
      </c>
      <c r="HI16" s="264">
        <f t="shared" si="2"/>
        <v>1.0909090909090908</v>
      </c>
      <c r="HJ16" s="264">
        <f t="shared" si="3"/>
        <v>1.0792338167135382</v>
      </c>
      <c r="HK16" s="265">
        <v>8.3333333333333329E-2</v>
      </c>
      <c r="HL16" s="265">
        <v>0.83333333333333337</v>
      </c>
      <c r="HM16" s="265">
        <v>8.3333333333333329E-2</v>
      </c>
      <c r="HN16" s="17"/>
      <c r="HO16" s="18"/>
      <c r="HP16" s="17"/>
      <c r="HQ16" s="377">
        <v>11</v>
      </c>
      <c r="HR16" s="272">
        <v>11</v>
      </c>
      <c r="HS16" s="268">
        <f t="shared" si="4"/>
        <v>1.0792338167135382</v>
      </c>
      <c r="HT16" s="244">
        <v>9782.4500000000007</v>
      </c>
      <c r="HU16" s="245">
        <f t="shared" si="24"/>
        <v>10557.550850309353</v>
      </c>
      <c r="HV16" s="244">
        <v>9167709</v>
      </c>
      <c r="HW16" s="245">
        <v>9878288</v>
      </c>
      <c r="HX16" s="244">
        <v>4343908.4247000003</v>
      </c>
      <c r="HY16" s="245">
        <v>4582104</v>
      </c>
      <c r="HZ16" s="244">
        <v>247500</v>
      </c>
      <c r="IA16" s="244">
        <v>270000</v>
      </c>
      <c r="IB16" s="244">
        <f t="shared" si="25"/>
        <v>4601190.8747000005</v>
      </c>
      <c r="IC16" s="244">
        <f t="shared" si="25"/>
        <v>4862661.5508503094</v>
      </c>
      <c r="ID16" s="269"/>
      <c r="IE16" s="270"/>
      <c r="IF16" s="269"/>
      <c r="IG16" s="271">
        <v>11</v>
      </c>
      <c r="IH16" s="272">
        <v>11</v>
      </c>
      <c r="II16" s="273">
        <f t="shared" si="5"/>
        <v>1.0909090909090908</v>
      </c>
      <c r="IJ16" s="274">
        <f t="shared" si="5"/>
        <v>1.0792338167135382</v>
      </c>
      <c r="IK16" s="244">
        <v>1386253.1401575492</v>
      </c>
      <c r="IL16" s="245">
        <f t="shared" si="65"/>
        <v>1496091.2673833594</v>
      </c>
      <c r="IM16" s="244">
        <v>60226.972790488515</v>
      </c>
      <c r="IN16" s="245">
        <f t="shared" si="26"/>
        <v>64998.985713781338</v>
      </c>
      <c r="IO16" s="244">
        <v>823480.68384245108</v>
      </c>
      <c r="IP16" s="245">
        <f t="shared" si="27"/>
        <v>898342.5641917648</v>
      </c>
      <c r="IQ16" s="244">
        <v>1231929.8999999999</v>
      </c>
      <c r="IR16" s="245">
        <v>1218788.7</v>
      </c>
      <c r="IS16" s="244">
        <v>117233.25836457632</v>
      </c>
      <c r="IT16" s="245">
        <f t="shared" si="28"/>
        <v>126522.09687056603</v>
      </c>
      <c r="IU16" s="244">
        <v>61612.297499999986</v>
      </c>
      <c r="IV16" s="245">
        <f t="shared" si="29"/>
        <v>66494.074987414977</v>
      </c>
      <c r="IW16" s="244">
        <v>209232.19</v>
      </c>
      <c r="IX16" s="245">
        <f t="shared" si="30"/>
        <v>225810.45499303221</v>
      </c>
      <c r="IY16" s="244">
        <v>415790.34459399461</v>
      </c>
      <c r="IZ16" s="245">
        <f t="shared" si="31"/>
        <v>448735.00054881407</v>
      </c>
      <c r="JA16" s="244">
        <f t="shared" si="32"/>
        <v>4305758.7872490603</v>
      </c>
      <c r="JB16" s="244">
        <f t="shared" si="32"/>
        <v>4545783.1446887339</v>
      </c>
      <c r="JC16" s="275">
        <f t="shared" si="6"/>
        <v>4.9952198044845542</v>
      </c>
      <c r="JD16" s="17"/>
      <c r="JE16" s="18"/>
      <c r="JF16" s="17"/>
      <c r="JG16" s="237">
        <v>11</v>
      </c>
      <c r="JH16" s="261">
        <v>11</v>
      </c>
      <c r="JI16" s="35">
        <f t="shared" si="7"/>
        <v>12</v>
      </c>
      <c r="JJ16" s="35">
        <f t="shared" si="33"/>
        <v>12</v>
      </c>
      <c r="JK16" s="243">
        <f t="shared" si="8"/>
        <v>91002665</v>
      </c>
      <c r="JL16" s="243">
        <f t="shared" si="9"/>
        <v>90550424.689838693</v>
      </c>
      <c r="JM16" s="277">
        <f t="shared" si="34"/>
        <v>1</v>
      </c>
      <c r="JN16" s="277">
        <f t="shared" si="35"/>
        <v>0.99503047179814674</v>
      </c>
      <c r="JO16" s="277">
        <f t="shared" si="36"/>
        <v>1.0268040753042742</v>
      </c>
      <c r="JP16" s="261" t="s">
        <v>241</v>
      </c>
      <c r="JQ16" s="278"/>
      <c r="JR16" s="279"/>
      <c r="JS16" s="278"/>
      <c r="JT16" s="237">
        <v>11</v>
      </c>
      <c r="JU16" s="261">
        <v>11</v>
      </c>
      <c r="JV16" s="280" t="str">
        <f t="shared" si="10"/>
        <v>Q3</v>
      </c>
      <c r="JW16" s="281">
        <f t="shared" si="11"/>
        <v>1.0268040753042742</v>
      </c>
      <c r="JX16" s="244">
        <f t="shared" si="37"/>
        <v>10557.550850309353</v>
      </c>
      <c r="JY16" s="244">
        <f t="shared" si="38"/>
        <v>10840.536238329749</v>
      </c>
      <c r="JZ16" s="244">
        <f t="shared" si="12"/>
        <v>9878288</v>
      </c>
      <c r="KA16" s="244">
        <f t="shared" si="39"/>
        <v>9978187.6295112986</v>
      </c>
      <c r="KB16" s="244">
        <f t="shared" si="13"/>
        <v>4582104</v>
      </c>
      <c r="KC16" s="244">
        <f t="shared" si="14"/>
        <v>5111503.6042240215</v>
      </c>
      <c r="KD16" s="244">
        <f t="shared" si="40"/>
        <v>270000</v>
      </c>
      <c r="KE16" s="244">
        <f t="shared" si="41"/>
        <v>191912.34718304133</v>
      </c>
      <c r="KF16" s="244">
        <f t="shared" si="42"/>
        <v>4862661.5508503094</v>
      </c>
      <c r="KG16" s="244">
        <f t="shared" si="42"/>
        <v>5314256.4876453923</v>
      </c>
      <c r="KH16" s="282"/>
      <c r="KI16" s="279"/>
      <c r="KJ16" s="278"/>
      <c r="KK16" s="324">
        <f t="shared" si="66"/>
        <v>11</v>
      </c>
      <c r="KL16" s="325">
        <v>10</v>
      </c>
      <c r="KM16" s="378">
        <f t="shared" si="67"/>
        <v>1</v>
      </c>
      <c r="KN16" s="378">
        <f t="shared" si="67"/>
        <v>0.99503047179814674</v>
      </c>
      <c r="KO16" s="330">
        <v>1.69933333</v>
      </c>
      <c r="KP16" s="300">
        <f t="shared" si="68"/>
        <v>799322.30343332724</v>
      </c>
      <c r="KQ16" s="330">
        <v>1.69933333</v>
      </c>
      <c r="KR16" s="300">
        <f t="shared" si="43"/>
        <v>89710.763603291241</v>
      </c>
      <c r="KS16" s="330">
        <v>1.69933333</v>
      </c>
      <c r="KT16" s="300">
        <f t="shared" si="44"/>
        <v>519248.66241107177</v>
      </c>
      <c r="KU16" s="330">
        <v>1.7150382799999999</v>
      </c>
      <c r="KV16" s="300">
        <f t="shared" si="69"/>
        <v>772394.3678220337</v>
      </c>
      <c r="KW16" s="330">
        <v>1.69933333</v>
      </c>
      <c r="KX16" s="300">
        <f t="shared" si="45"/>
        <v>66157.195413682988</v>
      </c>
      <c r="KY16" s="330">
        <v>1.69933333</v>
      </c>
      <c r="KZ16" s="300">
        <f t="shared" si="46"/>
        <v>107323.23669022901</v>
      </c>
      <c r="LA16" s="330">
        <v>1.69933333</v>
      </c>
      <c r="LB16" s="300">
        <f t="shared" si="47"/>
        <v>124311.70192850885</v>
      </c>
      <c r="LC16" s="330">
        <v>1.69933333</v>
      </c>
      <c r="LD16" s="300">
        <f t="shared" si="48"/>
        <v>433379.37499464012</v>
      </c>
      <c r="LE16" s="303">
        <f t="shared" si="49"/>
        <v>2836100.7427207581</v>
      </c>
      <c r="LF16" s="303">
        <f t="shared" si="70"/>
        <v>2911847.6062967852</v>
      </c>
      <c r="LG16" s="21"/>
      <c r="LH16" s="291"/>
      <c r="LI16" s="17"/>
      <c r="LJ16" s="237">
        <v>11</v>
      </c>
      <c r="LK16" s="292">
        <v>11</v>
      </c>
      <c r="LL16" s="244">
        <f t="shared" si="15"/>
        <v>4601190.8747000005</v>
      </c>
      <c r="LM16" s="244">
        <f t="shared" si="15"/>
        <v>4862661.5508503094</v>
      </c>
      <c r="LN16" s="245">
        <f t="shared" si="16"/>
        <v>5314256.4876453923</v>
      </c>
      <c r="LO16" s="244">
        <f t="shared" si="17"/>
        <v>4305758.7872490603</v>
      </c>
      <c r="LP16" s="244">
        <f t="shared" si="17"/>
        <v>4545783.1446887339</v>
      </c>
      <c r="LQ16" s="245">
        <f t="shared" si="50"/>
        <v>4667628.6584158707</v>
      </c>
      <c r="LR16" s="244">
        <f t="shared" si="51"/>
        <v>295432.08745094016</v>
      </c>
      <c r="LS16" s="244">
        <f t="shared" si="51"/>
        <v>316878.40616157558</v>
      </c>
      <c r="LT16" s="244">
        <f t="shared" si="51"/>
        <v>646627.82922952157</v>
      </c>
      <c r="LU16" s="17"/>
      <c r="LV16" s="18"/>
      <c r="LW16" s="17"/>
      <c r="LX16" s="17"/>
      <c r="LY16" s="17"/>
      <c r="LZ16" s="17"/>
      <c r="MA16" s="17"/>
      <c r="MB16" s="18"/>
      <c r="MC16" s="17"/>
      <c r="MD16" s="294">
        <f t="shared" si="80"/>
        <v>10</v>
      </c>
      <c r="ME16" s="304" t="s">
        <v>49</v>
      </c>
      <c r="MF16" s="303">
        <f>N16</f>
        <v>18738346.045075003</v>
      </c>
      <c r="MG16" s="381">
        <f t="shared" si="101"/>
        <v>0.83813107563724953</v>
      </c>
      <c r="MH16" s="297">
        <f>MF16</f>
        <v>18738346.045075003</v>
      </c>
      <c r="MI16" s="381">
        <f t="shared" si="102"/>
        <v>0.83813107563724953</v>
      </c>
      <c r="MJ16" s="17"/>
      <c r="MK16" s="18"/>
      <c r="ML16" s="17"/>
      <c r="MM16" s="294">
        <f t="shared" si="81"/>
        <v>10</v>
      </c>
      <c r="MN16" s="304" t="str">
        <f>ME16</f>
        <v>Overhead Labour</v>
      </c>
      <c r="MO16" s="382">
        <v>19173425.776259005</v>
      </c>
      <c r="MP16" s="303">
        <f>MF16</f>
        <v>18738346.045075003</v>
      </c>
      <c r="MQ16" s="303">
        <f t="shared" si="72"/>
        <v>-435079.73118400201</v>
      </c>
      <c r="MR16" s="309">
        <f t="shared" si="73"/>
        <v>-2.2691809813284811E-2</v>
      </c>
      <c r="MS16" s="17"/>
      <c r="MT16" s="18"/>
      <c r="MU16" s="17"/>
    </row>
    <row r="17" spans="1:359" x14ac:dyDescent="0.3">
      <c r="B17" s="181">
        <f t="shared" si="74"/>
        <v>12</v>
      </c>
      <c r="C17" s="295"/>
      <c r="D17" s="17" t="s">
        <v>50</v>
      </c>
      <c r="E17" s="296"/>
      <c r="F17" s="297">
        <f>EB12</f>
        <v>24728670.326400001</v>
      </c>
      <c r="G17" s="298">
        <f t="shared" si="95"/>
        <v>1.1769236556935634</v>
      </c>
      <c r="H17" s="297">
        <f>EF12</f>
        <v>25427726.100000001</v>
      </c>
      <c r="I17" s="299">
        <f t="shared" si="96"/>
        <v>1.2049223572931176</v>
      </c>
      <c r="J17" s="300">
        <f t="shared" si="54"/>
        <v>699055.77360000089</v>
      </c>
      <c r="K17" s="297">
        <f>IR26</f>
        <v>26647988.950000003</v>
      </c>
      <c r="L17" s="299">
        <f t="shared" si="97"/>
        <v>1.1859913155180237</v>
      </c>
      <c r="M17" s="300">
        <f t="shared" si="55"/>
        <v>1220262.8500000015</v>
      </c>
      <c r="N17" s="297">
        <f>KV27</f>
        <v>27207281.816085886</v>
      </c>
      <c r="O17" s="299">
        <f t="shared" si="98"/>
        <v>1.2169306895511851</v>
      </c>
      <c r="P17" s="300">
        <f t="shared" si="56"/>
        <v>559292.86608588323</v>
      </c>
      <c r="Q17" s="297">
        <f t="shared" si="57"/>
        <v>2478611.4896858856</v>
      </c>
      <c r="R17" s="301">
        <f t="shared" si="58"/>
        <v>3.3992887868368626E-2</v>
      </c>
      <c r="V17" s="230"/>
      <c r="W17" s="231" t="s">
        <v>26</v>
      </c>
      <c r="X17" s="383"/>
      <c r="Y17" s="384"/>
      <c r="Z17" s="384"/>
      <c r="AA17" s="384"/>
      <c r="AB17" s="234"/>
      <c r="AC17" s="309"/>
      <c r="AF17" s="385">
        <f t="shared" si="75"/>
        <v>11</v>
      </c>
      <c r="AG17" s="386" t="s">
        <v>189</v>
      </c>
      <c r="AH17" s="452">
        <f>IL26/AH15</f>
        <v>21.13920628565889</v>
      </c>
      <c r="AI17" s="452">
        <f>IN26/AI15</f>
        <v>16.483349068434837</v>
      </c>
      <c r="AJ17" s="452">
        <f>IP26/AJ15</f>
        <v>30.497193904895575</v>
      </c>
      <c r="AL17" s="437"/>
      <c r="AN17" s="294">
        <f t="shared" ref="AN17:AN20" si="104">AN16+1</f>
        <v>12</v>
      </c>
      <c r="AO17" s="23"/>
      <c r="AQ17" s="17" t="s">
        <v>219</v>
      </c>
      <c r="AR17" s="296"/>
      <c r="AS17" s="306">
        <v>1216501.406</v>
      </c>
      <c r="AT17" s="307">
        <v>0.11862746567938538</v>
      </c>
      <c r="AU17" s="308"/>
      <c r="AV17" s="306">
        <v>2361150.2250000001</v>
      </c>
      <c r="AW17" s="307">
        <v>0.2187914565748014</v>
      </c>
      <c r="AX17" s="309">
        <f t="shared" si="85"/>
        <v>0.84435750457764458</v>
      </c>
      <c r="AY17" s="308"/>
      <c r="AZ17" s="306">
        <v>2483160.2930935998</v>
      </c>
      <c r="BA17" s="307">
        <v>0.19247263373122833</v>
      </c>
      <c r="BB17" s="309">
        <f t="shared" si="86"/>
        <v>-0.12029182151623485</v>
      </c>
      <c r="BC17" s="308"/>
      <c r="BD17" s="306">
        <v>3556357.1057280144</v>
      </c>
      <c r="BE17" s="307">
        <v>0.24182856533648778</v>
      </c>
      <c r="BF17" s="309">
        <f t="shared" si="87"/>
        <v>0.25643090473932428</v>
      </c>
      <c r="BG17" s="308"/>
      <c r="BH17" s="306">
        <v>3747904.7313999999</v>
      </c>
      <c r="BI17" s="307">
        <v>0.24663086321723002</v>
      </c>
      <c r="BJ17" s="309">
        <f t="shared" si="88"/>
        <v>1.9858273872898957E-2</v>
      </c>
      <c r="BK17" s="308"/>
      <c r="BL17" s="306">
        <v>4022436.6702577379</v>
      </c>
      <c r="BM17" s="307">
        <v>0.23912744990636886</v>
      </c>
      <c r="BN17" s="309">
        <f t="shared" si="89"/>
        <v>-3.0423659119468094E-2</v>
      </c>
      <c r="BO17" s="308"/>
      <c r="BP17" s="24">
        <v>5745533.5202000001</v>
      </c>
      <c r="BQ17" s="307">
        <v>0.30976719562421123</v>
      </c>
      <c r="BR17" s="309">
        <f t="shared" si="90"/>
        <v>0.29540626032478334</v>
      </c>
      <c r="BS17" s="308"/>
      <c r="BT17" s="17">
        <v>6723403</v>
      </c>
      <c r="BU17" s="17">
        <v>0.34</v>
      </c>
      <c r="BV17" s="17">
        <f t="shared" si="91"/>
        <v>9.759847008611322E-2</v>
      </c>
      <c r="BW17" s="310">
        <v>7155288.9644999998</v>
      </c>
      <c r="BX17" s="311">
        <v>0.36964608490901918</v>
      </c>
      <c r="BY17" s="312">
        <f t="shared" si="60"/>
        <v>8.7194367379468174E-2</v>
      </c>
      <c r="BZ17" s="312">
        <v>8029824.328999999</v>
      </c>
      <c r="CA17" s="312">
        <v>0.39363869120338835</v>
      </c>
      <c r="CB17" s="312">
        <f t="shared" si="61"/>
        <v>6.4906967160965445E-2</v>
      </c>
      <c r="CC17" s="312">
        <v>8459101.3855000008</v>
      </c>
      <c r="CD17" s="312">
        <v>0.40700283805321286</v>
      </c>
      <c r="CE17" s="313">
        <f t="shared" si="99"/>
        <v>3.395028778540321E-2</v>
      </c>
      <c r="CF17" s="297">
        <v>9697049.3831640016</v>
      </c>
      <c r="CG17" s="312">
        <v>0.46607564425629766</v>
      </c>
      <c r="CH17" s="313">
        <f t="shared" si="92"/>
        <v>0.14514101789963796</v>
      </c>
      <c r="CI17" s="297">
        <f>F18+F19</f>
        <v>12047468.947999999</v>
      </c>
      <c r="CJ17" s="312">
        <f>G18+G19</f>
        <v>0.57338105967620856</v>
      </c>
      <c r="CK17" s="313">
        <f t="shared" si="93"/>
        <v>0.23023175903373971</v>
      </c>
      <c r="CL17" s="314">
        <f t="shared" si="63"/>
        <v>8.9033744544640498</v>
      </c>
      <c r="CM17" s="313">
        <f t="shared" si="100"/>
        <v>0.12826117081548682</v>
      </c>
      <c r="DG17" s="17"/>
      <c r="DQ17" s="17"/>
      <c r="DX17" s="17"/>
      <c r="DY17" s="17"/>
      <c r="DZ17" s="17"/>
      <c r="EA17" s="17"/>
      <c r="EB17" s="17"/>
      <c r="EU17" s="375"/>
      <c r="FK17" s="375"/>
      <c r="FM17" s="294">
        <f t="shared" si="79"/>
        <v>12</v>
      </c>
      <c r="FN17" s="321"/>
      <c r="FO17" s="322" t="s">
        <v>220</v>
      </c>
      <c r="FP17" s="303">
        <v>54750.724999999991</v>
      </c>
      <c r="FQ17" s="303">
        <v>139277.92000000001</v>
      </c>
      <c r="FR17" s="303">
        <v>391704.37640000012</v>
      </c>
      <c r="FS17" s="300">
        <f t="shared" si="23"/>
        <v>585733.02140000009</v>
      </c>
      <c r="FT17" s="303">
        <v>55354.524999999994</v>
      </c>
      <c r="FU17" s="303">
        <v>139277.92000000001</v>
      </c>
      <c r="FV17" s="303">
        <v>395478.04306666675</v>
      </c>
      <c r="FW17" s="303">
        <v>590110.48806666676</v>
      </c>
      <c r="FX17" s="303">
        <v>590110.48806666676</v>
      </c>
      <c r="FY17" s="21"/>
      <c r="FZ17" s="375"/>
      <c r="HC17" s="294">
        <v>12</v>
      </c>
      <c r="HD17" s="278">
        <v>12</v>
      </c>
      <c r="HE17" s="278">
        <v>10</v>
      </c>
      <c r="HF17" s="278">
        <v>10</v>
      </c>
      <c r="HG17" s="305">
        <v>88393636</v>
      </c>
      <c r="HH17" s="305">
        <v>88595852</v>
      </c>
      <c r="HI17" s="299">
        <f t="shared" si="2"/>
        <v>1</v>
      </c>
      <c r="HJ17" s="299">
        <f t="shared" si="3"/>
        <v>1.0022876760041866</v>
      </c>
      <c r="HK17" s="301">
        <v>0</v>
      </c>
      <c r="HL17" s="301">
        <v>0.9</v>
      </c>
      <c r="HM17" s="301">
        <v>0.1</v>
      </c>
      <c r="HQ17" s="324">
        <v>12</v>
      </c>
      <c r="HR17" s="325">
        <v>12</v>
      </c>
      <c r="HS17" s="326">
        <f t="shared" si="4"/>
        <v>1.0022876760041866</v>
      </c>
      <c r="HT17" s="303">
        <v>14807.58</v>
      </c>
      <c r="HU17" s="300">
        <f t="shared" si="24"/>
        <v>14841.454945446072</v>
      </c>
      <c r="HV17" s="303">
        <v>9581411</v>
      </c>
      <c r="HW17" s="300">
        <v>9604296</v>
      </c>
      <c r="HX17" s="303">
        <v>4476712.0984000005</v>
      </c>
      <c r="HY17" s="300">
        <v>4415597</v>
      </c>
      <c r="HZ17" s="303">
        <v>225000</v>
      </c>
      <c r="IA17" s="303">
        <v>225000</v>
      </c>
      <c r="IB17" s="303">
        <f t="shared" si="25"/>
        <v>4716519.6784000006</v>
      </c>
      <c r="IC17" s="303">
        <f t="shared" si="25"/>
        <v>4655438.454945446</v>
      </c>
      <c r="ID17" s="269"/>
      <c r="IE17" s="270"/>
      <c r="IF17" s="269"/>
      <c r="IG17" s="327">
        <v>12</v>
      </c>
      <c r="IH17" s="325">
        <v>12</v>
      </c>
      <c r="II17" s="328">
        <f t="shared" si="5"/>
        <v>1</v>
      </c>
      <c r="IJ17" s="329">
        <f t="shared" si="5"/>
        <v>1.0022876760041866</v>
      </c>
      <c r="IK17" s="303">
        <v>1579227.3890857466</v>
      </c>
      <c r="IL17" s="300">
        <f t="shared" si="65"/>
        <v>1582840.1496889123</v>
      </c>
      <c r="IM17" s="303">
        <v>175258.24913125313</v>
      </c>
      <c r="IN17" s="300">
        <f t="shared" si="26"/>
        <v>175659.18322232645</v>
      </c>
      <c r="IO17" s="303">
        <v>778295.12591425306</v>
      </c>
      <c r="IP17" s="300">
        <f t="shared" si="27"/>
        <v>778295.12591425306</v>
      </c>
      <c r="IQ17" s="303">
        <v>897953.75</v>
      </c>
      <c r="IR17" s="300">
        <v>897953.75</v>
      </c>
      <c r="IS17" s="303">
        <v>109951.27857232519</v>
      </c>
      <c r="IT17" s="300">
        <f t="shared" si="28"/>
        <v>110202.81147394473</v>
      </c>
      <c r="IU17" s="303">
        <v>95987.429000000004</v>
      </c>
      <c r="IV17" s="300">
        <f t="shared" si="29"/>
        <v>96207.017138026858</v>
      </c>
      <c r="IW17" s="303">
        <v>261443.27</v>
      </c>
      <c r="IX17" s="300">
        <f t="shared" si="30"/>
        <v>262041.36749523506</v>
      </c>
      <c r="IY17" s="303">
        <v>529477.56979999994</v>
      </c>
      <c r="IZ17" s="300">
        <f t="shared" si="31"/>
        <v>530688.84293118643</v>
      </c>
      <c r="JA17" s="303">
        <f t="shared" si="32"/>
        <v>4427594.061503578</v>
      </c>
      <c r="JB17" s="303">
        <f t="shared" si="32"/>
        <v>4433888.247863885</v>
      </c>
      <c r="JC17" s="330">
        <f t="shared" si="6"/>
        <v>5.0046228438142739</v>
      </c>
      <c r="JG17" s="294">
        <v>12</v>
      </c>
      <c r="JH17" s="278">
        <v>12</v>
      </c>
      <c r="JI17" s="17">
        <f t="shared" si="7"/>
        <v>10</v>
      </c>
      <c r="JJ17" s="17">
        <f t="shared" si="33"/>
        <v>10</v>
      </c>
      <c r="JK17" s="331">
        <f t="shared" si="8"/>
        <v>88595852</v>
      </c>
      <c r="JL17" s="331">
        <f t="shared" si="9"/>
        <v>88155572.41491878</v>
      </c>
      <c r="JM17" s="332">
        <f t="shared" si="34"/>
        <v>1</v>
      </c>
      <c r="JN17" s="332">
        <f t="shared" si="35"/>
        <v>0.99503047179814674</v>
      </c>
      <c r="JO17" s="332">
        <f t="shared" si="36"/>
        <v>1.0269742840603784</v>
      </c>
      <c r="JP17" s="278" t="s">
        <v>241</v>
      </c>
      <c r="JQ17" s="278"/>
      <c r="JR17" s="279"/>
      <c r="JS17" s="278"/>
      <c r="JT17" s="294">
        <v>12</v>
      </c>
      <c r="JU17" s="278">
        <v>12</v>
      </c>
      <c r="JV17" s="405" t="str">
        <f t="shared" si="10"/>
        <v>Q3</v>
      </c>
      <c r="JW17" s="334">
        <f t="shared" si="11"/>
        <v>1.0269742840603784</v>
      </c>
      <c r="JX17" s="319">
        <f t="shared" si="37"/>
        <v>14841.454945446072</v>
      </c>
      <c r="JY17" s="319">
        <f t="shared" si="38"/>
        <v>15241.792567013841</v>
      </c>
      <c r="JZ17" s="319">
        <f t="shared" si="12"/>
        <v>9604296</v>
      </c>
      <c r="KA17" s="319">
        <f t="shared" si="39"/>
        <v>9714287.3173265178</v>
      </c>
      <c r="KB17" s="319">
        <f t="shared" si="13"/>
        <v>4415597</v>
      </c>
      <c r="KC17" s="319">
        <f t="shared" si="14"/>
        <v>4976315.9882987821</v>
      </c>
      <c r="KD17" s="319">
        <f t="shared" si="40"/>
        <v>225000</v>
      </c>
      <c r="KE17" s="319">
        <f t="shared" si="41"/>
        <v>186836.70316689461</v>
      </c>
      <c r="KF17" s="319">
        <f t="shared" si="42"/>
        <v>4655438.454945446</v>
      </c>
      <c r="KG17" s="319">
        <f t="shared" si="42"/>
        <v>5178394.4840326905</v>
      </c>
      <c r="KH17" s="282"/>
      <c r="KI17" s="279"/>
      <c r="KJ17" s="278"/>
      <c r="KK17" s="335">
        <f t="shared" si="66"/>
        <v>12</v>
      </c>
      <c r="KL17" s="336">
        <v>11</v>
      </c>
      <c r="KM17" s="337">
        <f t="shared" si="67"/>
        <v>1</v>
      </c>
      <c r="KN17" s="337">
        <f t="shared" si="67"/>
        <v>0.99503047179814674</v>
      </c>
      <c r="KO17" s="275">
        <v>1.69933333</v>
      </c>
      <c r="KP17" s="245">
        <f t="shared" si="68"/>
        <v>1536409.8485197187</v>
      </c>
      <c r="KQ17" s="275">
        <v>1.69933333</v>
      </c>
      <c r="KR17" s="245">
        <f t="shared" si="43"/>
        <v>66750.66152154516</v>
      </c>
      <c r="KS17" s="275">
        <v>1.69933333</v>
      </c>
      <c r="KT17" s="245">
        <f t="shared" si="44"/>
        <v>927159.79544019222</v>
      </c>
      <c r="KU17" s="275">
        <v>1.7150382799999999</v>
      </c>
      <c r="KV17" s="245">
        <f t="shared" si="69"/>
        <v>1246366.5650940479</v>
      </c>
      <c r="KW17" s="275">
        <v>1.69933333</v>
      </c>
      <c r="KX17" s="245">
        <f t="shared" si="45"/>
        <v>129931.7761725114</v>
      </c>
      <c r="KY17" s="275">
        <v>1.69933333</v>
      </c>
      <c r="KZ17" s="245">
        <f t="shared" si="46"/>
        <v>68286.042373305943</v>
      </c>
      <c r="LA17" s="275">
        <v>1.69933333</v>
      </c>
      <c r="LB17" s="245">
        <f t="shared" si="47"/>
        <v>231895.88397023504</v>
      </c>
      <c r="LC17" s="275">
        <v>1.69933333</v>
      </c>
      <c r="LD17" s="338">
        <f t="shared" si="48"/>
        <v>460828.08532431367</v>
      </c>
      <c r="LE17" s="339">
        <f t="shared" si="49"/>
        <v>4545783.1446887339</v>
      </c>
      <c r="LF17" s="339">
        <f t="shared" si="70"/>
        <v>4667628.6584158707</v>
      </c>
      <c r="LG17" s="21"/>
      <c r="LH17" s="291"/>
      <c r="LJ17" s="294">
        <v>12</v>
      </c>
      <c r="LK17" s="340">
        <v>12</v>
      </c>
      <c r="LL17" s="303">
        <f t="shared" si="15"/>
        <v>4716519.6784000006</v>
      </c>
      <c r="LM17" s="303">
        <f t="shared" si="15"/>
        <v>4655438.454945446</v>
      </c>
      <c r="LN17" s="300">
        <f t="shared" si="16"/>
        <v>5178394.4840326905</v>
      </c>
      <c r="LO17" s="303">
        <f t="shared" si="17"/>
        <v>4427594.061503578</v>
      </c>
      <c r="LP17" s="303">
        <f t="shared" si="17"/>
        <v>4433888.247863885</v>
      </c>
      <c r="LQ17" s="300">
        <f t="shared" si="50"/>
        <v>4553489.2089537391</v>
      </c>
      <c r="LR17" s="303">
        <f t="shared" si="51"/>
        <v>288925.61689642258</v>
      </c>
      <c r="LS17" s="303">
        <f t="shared" si="51"/>
        <v>221550.20708156098</v>
      </c>
      <c r="LT17" s="303">
        <f t="shared" si="51"/>
        <v>624905.27507895138</v>
      </c>
      <c r="MD17" s="237">
        <f t="shared" si="80"/>
        <v>11</v>
      </c>
      <c r="ME17" s="351" t="s">
        <v>50</v>
      </c>
      <c r="MF17" s="244">
        <f>N17</f>
        <v>27207281.816085886</v>
      </c>
      <c r="MG17" s="341">
        <f t="shared" si="101"/>
        <v>1.2169306895511851</v>
      </c>
      <c r="MH17" s="342">
        <f>MF17</f>
        <v>27207281.816085886</v>
      </c>
      <c r="MI17" s="341">
        <f t="shared" si="102"/>
        <v>1.2169306895511851</v>
      </c>
      <c r="MM17" s="237">
        <f t="shared" si="81"/>
        <v>11</v>
      </c>
      <c r="MN17" s="351" t="str">
        <f>ME17</f>
        <v>Building</v>
      </c>
      <c r="MO17" s="344">
        <v>25073716.728897151</v>
      </c>
      <c r="MP17" s="244">
        <f>MF17</f>
        <v>27207281.816085886</v>
      </c>
      <c r="MQ17" s="244">
        <f t="shared" si="72"/>
        <v>2133565.0871887356</v>
      </c>
      <c r="MR17" s="361">
        <f t="shared" si="73"/>
        <v>8.5091696227461489E-2</v>
      </c>
    </row>
    <row r="18" spans="1:359" s="35" customFormat="1" x14ac:dyDescent="0.3">
      <c r="B18" s="220">
        <f t="shared" si="74"/>
        <v>13</v>
      </c>
      <c r="C18" s="346"/>
      <c r="D18" s="35" t="s">
        <v>53</v>
      </c>
      <c r="E18" s="240"/>
      <c r="F18" s="342">
        <f>EO9</f>
        <v>7459130.2179999985</v>
      </c>
      <c r="G18" s="347">
        <f t="shared" si="95"/>
        <v>0.35500601886752986</v>
      </c>
      <c r="H18" s="342">
        <f>ES9</f>
        <v>7476380.9766431823</v>
      </c>
      <c r="I18" s="264">
        <f t="shared" si="96"/>
        <v>0.35427700278706098</v>
      </c>
      <c r="J18" s="245">
        <f t="shared" si="54"/>
        <v>17250.758643183857</v>
      </c>
      <c r="K18" s="342">
        <f>IX26</f>
        <v>8049155.5163876601</v>
      </c>
      <c r="L18" s="264">
        <f t="shared" si="97"/>
        <v>0.35823448281975351</v>
      </c>
      <c r="M18" s="245">
        <f t="shared" si="55"/>
        <v>572774.53974447772</v>
      </c>
      <c r="N18" s="342">
        <f>LB27</f>
        <v>8265761.8626006208</v>
      </c>
      <c r="O18" s="264">
        <f t="shared" si="98"/>
        <v>0.36971202603463738</v>
      </c>
      <c r="P18" s="245">
        <f t="shared" si="56"/>
        <v>216606.34621296078</v>
      </c>
      <c r="Q18" s="342">
        <f t="shared" si="57"/>
        <v>806631.64460062236</v>
      </c>
      <c r="R18" s="265">
        <f t="shared" si="58"/>
        <v>4.1424669964807093E-2</v>
      </c>
      <c r="S18" s="17"/>
      <c r="T18" s="18"/>
      <c r="U18" s="17"/>
      <c r="V18" s="204">
        <f>V16+1</f>
        <v>9</v>
      </c>
      <c r="W18" s="302" t="s">
        <v>174</v>
      </c>
      <c r="X18" s="303">
        <f>SUMPRODUCT($LT$6:$LT$25,HK6:HK25)</f>
        <v>-1330763.8404891132</v>
      </c>
      <c r="Y18" s="303">
        <f>SUMPRODUCT($LT$6:$LT$25,HL6:HL25)</f>
        <v>3500353.7851463617</v>
      </c>
      <c r="Z18" s="303">
        <f>SUMPRODUCT($LT$6:$LT$25,HM6:HM25)</f>
        <v>12168175.942155372</v>
      </c>
      <c r="AA18" s="303">
        <f>SUM(X18:Z18)</f>
        <v>14337765.88681262</v>
      </c>
      <c r="AB18" s="303"/>
      <c r="AC18" s="17"/>
      <c r="AD18" s="18"/>
      <c r="AE18" s="17"/>
      <c r="AF18" s="348">
        <f t="shared" si="75"/>
        <v>12</v>
      </c>
      <c r="AG18" s="236" t="s">
        <v>26</v>
      </c>
      <c r="AK18" s="17"/>
      <c r="AL18" s="437"/>
      <c r="AM18" s="17"/>
      <c r="AN18" s="461">
        <f t="shared" si="104"/>
        <v>13</v>
      </c>
      <c r="AO18" s="462"/>
      <c r="AP18" s="463"/>
      <c r="AQ18" s="463" t="s">
        <v>54</v>
      </c>
      <c r="AR18" s="464"/>
      <c r="AS18" s="465">
        <v>5928822.8260000004</v>
      </c>
      <c r="AT18" s="466">
        <v>0.57815077141840288</v>
      </c>
      <c r="AU18" s="467"/>
      <c r="AV18" s="465">
        <v>3792013.7597000003</v>
      </c>
      <c r="AW18" s="466">
        <v>0.35137968141626907</v>
      </c>
      <c r="AX18" s="468">
        <f t="shared" si="85"/>
        <v>-0.39223521132002692</v>
      </c>
      <c r="AY18" s="467"/>
      <c r="AZ18" s="465">
        <v>5238845.7033359464</v>
      </c>
      <c r="BA18" s="466">
        <v>0.40606900530629209</v>
      </c>
      <c r="BB18" s="468">
        <f t="shared" si="86"/>
        <v>0.15564167987628807</v>
      </c>
      <c r="BC18" s="467"/>
      <c r="BD18" s="465">
        <v>5407089.8699504221</v>
      </c>
      <c r="BE18" s="466">
        <v>0.36767645852816944</v>
      </c>
      <c r="BF18" s="468">
        <f t="shared" si="87"/>
        <v>-9.4546853555502741E-2</v>
      </c>
      <c r="BG18" s="467"/>
      <c r="BH18" s="465">
        <v>7543565.8774000006</v>
      </c>
      <c r="BI18" s="466">
        <v>0.49640433719995791</v>
      </c>
      <c r="BJ18" s="468">
        <f t="shared" si="88"/>
        <v>0.3501118325255137</v>
      </c>
      <c r="BK18" s="467"/>
      <c r="BL18" s="465">
        <v>8178976.4044999983</v>
      </c>
      <c r="BM18" s="466">
        <v>0.48622711326046231</v>
      </c>
      <c r="BN18" s="468">
        <f t="shared" si="89"/>
        <v>-2.050188359936933E-2</v>
      </c>
      <c r="BO18" s="467"/>
      <c r="BP18" s="465">
        <v>9693134.9169999994</v>
      </c>
      <c r="BQ18" s="466">
        <v>0.52259989598697731</v>
      </c>
      <c r="BR18" s="468">
        <f t="shared" si="90"/>
        <v>7.4806158962654967E-2</v>
      </c>
      <c r="BS18" s="467"/>
      <c r="BT18" s="463">
        <v>9228973</v>
      </c>
      <c r="BU18" s="463">
        <v>0.47</v>
      </c>
      <c r="BV18" s="463">
        <f t="shared" si="91"/>
        <v>-0.10065041419045384</v>
      </c>
      <c r="BW18" s="469">
        <v>10423908.153099999</v>
      </c>
      <c r="BX18" s="470">
        <v>0.53850471411588496</v>
      </c>
      <c r="BY18" s="471">
        <f t="shared" si="60"/>
        <v>0.14575471088486158</v>
      </c>
      <c r="BZ18" s="471">
        <v>10530651.726950001</v>
      </c>
      <c r="CA18" s="471">
        <v>0.51623445214666785</v>
      </c>
      <c r="CB18" s="471">
        <f t="shared" si="61"/>
        <v>-4.1355741900570675E-2</v>
      </c>
      <c r="CC18" s="471">
        <v>10262021.9365</v>
      </c>
      <c r="CD18" s="471">
        <v>0.49374890570281921</v>
      </c>
      <c r="CE18" s="361">
        <f t="shared" si="99"/>
        <v>-4.3556849703359712E-2</v>
      </c>
      <c r="CF18" s="472">
        <v>12400752.312759999</v>
      </c>
      <c r="CG18" s="471">
        <v>0.59602549136926886</v>
      </c>
      <c r="CH18" s="361">
        <f t="shared" si="92"/>
        <v>0.20714291107312044</v>
      </c>
      <c r="CI18" s="472">
        <f>F20</f>
        <v>13267583.3847</v>
      </c>
      <c r="CJ18" s="471">
        <f>G20</f>
        <v>0.63145056055318949</v>
      </c>
      <c r="CK18" s="361">
        <f t="shared" si="93"/>
        <v>5.9435493442633547E-2</v>
      </c>
      <c r="CL18" s="473">
        <f t="shared" si="63"/>
        <v>1.2378107381649053</v>
      </c>
      <c r="CM18" s="361">
        <f t="shared" si="100"/>
        <v>4.3306121200313852E-2</v>
      </c>
      <c r="CN18" s="17"/>
      <c r="CO18" s="18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8"/>
      <c r="DC18" s="17"/>
      <c r="DD18" s="406"/>
      <c r="DE18" s="427"/>
      <c r="DF18" s="24"/>
      <c r="DG18" s="17"/>
      <c r="DH18" s="24"/>
      <c r="DI18" s="17"/>
      <c r="DJ18" s="17"/>
      <c r="DK18" s="17"/>
      <c r="DL18" s="18"/>
      <c r="DM18" s="17"/>
      <c r="DN18" s="17"/>
      <c r="DO18" s="17"/>
      <c r="DP18" s="17"/>
      <c r="DQ18" s="17"/>
      <c r="DR18" s="17"/>
      <c r="DS18" s="17"/>
      <c r="DT18" s="17"/>
      <c r="DU18" s="18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8"/>
      <c r="EI18" s="17"/>
      <c r="EJ18" s="17"/>
      <c r="EK18" s="17"/>
      <c r="EL18" s="17"/>
      <c r="EM18" s="17"/>
      <c r="EN18" s="17"/>
      <c r="EO18" s="305"/>
      <c r="EP18" s="17"/>
      <c r="EQ18" s="17"/>
      <c r="ER18" s="17"/>
      <c r="ES18" s="17"/>
      <c r="ET18" s="17"/>
      <c r="EU18" s="375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375"/>
      <c r="FL18" s="17"/>
      <c r="FM18" s="237">
        <f t="shared" si="79"/>
        <v>13</v>
      </c>
      <c r="FN18" s="373"/>
      <c r="FO18" s="374" t="s">
        <v>221</v>
      </c>
      <c r="FP18" s="244">
        <v>62838.439999999988</v>
      </c>
      <c r="FQ18" s="244">
        <v>51886.36</v>
      </c>
      <c r="FR18" s="244">
        <v>51749.5936</v>
      </c>
      <c r="FS18" s="245">
        <f t="shared" si="23"/>
        <v>166474.39360000001</v>
      </c>
      <c r="FT18" s="244">
        <v>63743.316666666658</v>
      </c>
      <c r="FU18" s="244">
        <v>51886.36</v>
      </c>
      <c r="FV18" s="244">
        <v>51749.5936</v>
      </c>
      <c r="FW18" s="244">
        <v>167379.27026666666</v>
      </c>
      <c r="FX18" s="244">
        <v>167379.27026666666</v>
      </c>
      <c r="FY18" s="21"/>
      <c r="FZ18" s="375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8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8"/>
      <c r="HA18" s="17"/>
      <c r="HB18" s="17"/>
      <c r="HC18" s="237">
        <v>13</v>
      </c>
      <c r="HD18" s="261">
        <v>13</v>
      </c>
      <c r="HE18" s="261">
        <v>10</v>
      </c>
      <c r="HF18" s="261">
        <v>9</v>
      </c>
      <c r="HG18" s="262">
        <v>100749044</v>
      </c>
      <c r="HH18" s="262">
        <v>89456511</v>
      </c>
      <c r="HI18" s="264">
        <f t="shared" si="2"/>
        <v>0.9</v>
      </c>
      <c r="HJ18" s="264">
        <f t="shared" si="3"/>
        <v>0.88791424164779176</v>
      </c>
      <c r="HK18" s="265">
        <v>0</v>
      </c>
      <c r="HL18" s="265">
        <v>1</v>
      </c>
      <c r="HM18" s="265">
        <v>0</v>
      </c>
      <c r="HN18" s="17"/>
      <c r="HO18" s="18"/>
      <c r="HP18" s="17"/>
      <c r="HQ18" s="377">
        <v>13</v>
      </c>
      <c r="HR18" s="272">
        <v>13</v>
      </c>
      <c r="HS18" s="268">
        <f t="shared" si="4"/>
        <v>0.88791424164779176</v>
      </c>
      <c r="HT18" s="244">
        <v>20165.62</v>
      </c>
      <c r="HU18" s="245">
        <f t="shared" si="24"/>
        <v>17905.341189657542</v>
      </c>
      <c r="HV18" s="244">
        <v>11006674</v>
      </c>
      <c r="HW18" s="245">
        <v>9771878</v>
      </c>
      <c r="HX18" s="244">
        <v>5267732.7087999992</v>
      </c>
      <c r="HY18" s="245">
        <v>4603639</v>
      </c>
      <c r="HZ18" s="244">
        <v>225000</v>
      </c>
      <c r="IA18" s="244">
        <v>202500</v>
      </c>
      <c r="IB18" s="244">
        <f t="shared" si="25"/>
        <v>5512898.3287999993</v>
      </c>
      <c r="IC18" s="244">
        <f t="shared" si="25"/>
        <v>4824044.3411896573</v>
      </c>
      <c r="ID18" s="269"/>
      <c r="IE18" s="270"/>
      <c r="IF18" s="269"/>
      <c r="IG18" s="271">
        <v>13</v>
      </c>
      <c r="IH18" s="272">
        <v>13</v>
      </c>
      <c r="II18" s="273">
        <f t="shared" si="5"/>
        <v>0.9</v>
      </c>
      <c r="IJ18" s="274">
        <f t="shared" si="5"/>
        <v>0.88791424164779176</v>
      </c>
      <c r="IK18" s="244">
        <v>1757875.432181932</v>
      </c>
      <c r="IL18" s="245">
        <f t="shared" si="65"/>
        <v>1560842.6312771044</v>
      </c>
      <c r="IM18" s="244">
        <v>82062.862637862127</v>
      </c>
      <c r="IN18" s="245">
        <f t="shared" si="26"/>
        <v>72864.784446544247</v>
      </c>
      <c r="IO18" s="244">
        <v>1134709.5218180679</v>
      </c>
      <c r="IP18" s="245">
        <f t="shared" si="27"/>
        <v>1021238.5696362611</v>
      </c>
      <c r="IQ18" s="244">
        <v>1299346.1000000001</v>
      </c>
      <c r="IR18" s="245">
        <v>1160345.6000000001</v>
      </c>
      <c r="IS18" s="244">
        <v>67144.409357033088</v>
      </c>
      <c r="IT18" s="245">
        <f t="shared" si="28"/>
        <v>59618.477315138924</v>
      </c>
      <c r="IU18" s="244">
        <v>101065.13639999999</v>
      </c>
      <c r="IV18" s="245">
        <f t="shared" si="29"/>
        <v>89737.173943636619</v>
      </c>
      <c r="IW18" s="244">
        <v>220601.09999999998</v>
      </c>
      <c r="IX18" s="245">
        <f t="shared" si="30"/>
        <v>195874.85841316867</v>
      </c>
      <c r="IY18" s="244">
        <v>480032.4669</v>
      </c>
      <c r="IZ18" s="245">
        <f t="shared" si="31"/>
        <v>426227.66381383222</v>
      </c>
      <c r="JA18" s="244">
        <f t="shared" si="32"/>
        <v>5142837.029294895</v>
      </c>
      <c r="JB18" s="244">
        <f t="shared" si="32"/>
        <v>4586749.7588456869</v>
      </c>
      <c r="JC18" s="275">
        <f t="shared" si="6"/>
        <v>5.1273515002677525</v>
      </c>
      <c r="JD18" s="17"/>
      <c r="JE18" s="18"/>
      <c r="JF18" s="17"/>
      <c r="JG18" s="237">
        <v>13</v>
      </c>
      <c r="JH18" s="261">
        <v>13</v>
      </c>
      <c r="JI18" s="35">
        <f t="shared" si="7"/>
        <v>9</v>
      </c>
      <c r="JJ18" s="353">
        <f t="shared" si="33"/>
        <v>9</v>
      </c>
      <c r="JK18" s="243">
        <f t="shared" si="8"/>
        <v>89456511</v>
      </c>
      <c r="JL18" s="243">
        <f t="shared" si="9"/>
        <v>89011954.3457461</v>
      </c>
      <c r="JM18" s="277">
        <f t="shared" si="34"/>
        <v>1</v>
      </c>
      <c r="JN18" s="277">
        <f t="shared" si="35"/>
        <v>0.99503047179814674</v>
      </c>
      <c r="JO18" s="277">
        <f t="shared" si="36"/>
        <v>1.0269978653366674</v>
      </c>
      <c r="JP18" s="261" t="s">
        <v>241</v>
      </c>
      <c r="JQ18" s="278"/>
      <c r="JR18" s="279"/>
      <c r="JS18" s="278"/>
      <c r="JT18" s="237">
        <v>13</v>
      </c>
      <c r="JU18" s="261">
        <v>13</v>
      </c>
      <c r="JV18" s="280" t="str">
        <f t="shared" si="10"/>
        <v>Q3</v>
      </c>
      <c r="JW18" s="281">
        <f t="shared" si="11"/>
        <v>1.0269978653366674</v>
      </c>
      <c r="JX18" s="244">
        <f t="shared" si="37"/>
        <v>17905.341189657542</v>
      </c>
      <c r="JY18" s="244">
        <f t="shared" si="38"/>
        <v>18388.747179902999</v>
      </c>
      <c r="JZ18" s="244">
        <f t="shared" si="12"/>
        <v>9771878</v>
      </c>
      <c r="KA18" s="244">
        <f t="shared" si="39"/>
        <v>9808656.1689093541</v>
      </c>
      <c r="KB18" s="244">
        <f t="shared" si="13"/>
        <v>4603639</v>
      </c>
      <c r="KC18" s="244">
        <f t="shared" si="14"/>
        <v>5024658.106417058</v>
      </c>
      <c r="KD18" s="244">
        <f t="shared" si="40"/>
        <v>202500</v>
      </c>
      <c r="KE18" s="244">
        <f t="shared" si="41"/>
        <v>188651.71692296656</v>
      </c>
      <c r="KF18" s="244">
        <f t="shared" si="42"/>
        <v>4824044.3411896573</v>
      </c>
      <c r="KG18" s="244">
        <f t="shared" si="42"/>
        <v>5231698.5705199279</v>
      </c>
      <c r="KH18" s="282"/>
      <c r="KI18" s="279"/>
      <c r="KJ18" s="278"/>
      <c r="KK18" s="324">
        <f t="shared" si="66"/>
        <v>13</v>
      </c>
      <c r="KL18" s="325">
        <v>12</v>
      </c>
      <c r="KM18" s="378">
        <f t="shared" si="67"/>
        <v>1</v>
      </c>
      <c r="KN18" s="378">
        <f t="shared" si="67"/>
        <v>0.99503047179814674</v>
      </c>
      <c r="KO18" s="330">
        <v>1.69933333</v>
      </c>
      <c r="KP18" s="300">
        <f t="shared" si="68"/>
        <v>1625496.5506668659</v>
      </c>
      <c r="KQ18" s="330">
        <v>1.69933333</v>
      </c>
      <c r="KR18" s="300">
        <f t="shared" si="43"/>
        <v>180393.07157893913</v>
      </c>
      <c r="KS18" s="330">
        <v>1.69933333</v>
      </c>
      <c r="KT18" s="300">
        <f t="shared" si="44"/>
        <v>803261.44891507132</v>
      </c>
      <c r="KU18" s="330">
        <v>1.7150382799999999</v>
      </c>
      <c r="KV18" s="300">
        <f t="shared" si="69"/>
        <v>918271.99497404217</v>
      </c>
      <c r="KW18" s="330">
        <v>1.69933333</v>
      </c>
      <c r="KX18" s="300">
        <f t="shared" si="45"/>
        <v>113172.69779888685</v>
      </c>
      <c r="KY18" s="330">
        <v>1.69933333</v>
      </c>
      <c r="KZ18" s="300">
        <f t="shared" si="46"/>
        <v>98799.726895066517</v>
      </c>
      <c r="LA18" s="330">
        <v>1.69933333</v>
      </c>
      <c r="LB18" s="300">
        <f t="shared" si="47"/>
        <v>269103.19344581192</v>
      </c>
      <c r="LC18" s="330">
        <v>1.69933333</v>
      </c>
      <c r="LD18" s="300">
        <f t="shared" si="48"/>
        <v>544990.52467905474</v>
      </c>
      <c r="LE18" s="303">
        <f t="shared" si="49"/>
        <v>4433888.247863885</v>
      </c>
      <c r="LF18" s="303">
        <f t="shared" si="70"/>
        <v>4553489.2089537391</v>
      </c>
      <c r="LG18" s="21"/>
      <c r="LH18" s="291"/>
      <c r="LI18" s="17"/>
      <c r="LJ18" s="237">
        <v>13</v>
      </c>
      <c r="LK18" s="292">
        <v>13</v>
      </c>
      <c r="LL18" s="244">
        <f t="shared" si="15"/>
        <v>5512898.3287999993</v>
      </c>
      <c r="LM18" s="244">
        <f t="shared" si="15"/>
        <v>4824044.3411896573</v>
      </c>
      <c r="LN18" s="245">
        <f t="shared" si="16"/>
        <v>5231698.5705199279</v>
      </c>
      <c r="LO18" s="244">
        <f t="shared" si="17"/>
        <v>5142837.029294895</v>
      </c>
      <c r="LP18" s="244">
        <f t="shared" si="17"/>
        <v>4586749.7588456869</v>
      </c>
      <c r="LQ18" s="245">
        <f t="shared" si="50"/>
        <v>4710582.211167994</v>
      </c>
      <c r="LR18" s="244">
        <f t="shared" si="51"/>
        <v>370061.29950510431</v>
      </c>
      <c r="LS18" s="244">
        <f t="shared" si="51"/>
        <v>237294.58234397043</v>
      </c>
      <c r="LT18" s="244">
        <f t="shared" si="51"/>
        <v>521116.35935193393</v>
      </c>
      <c r="LU18" s="17"/>
      <c r="LV18" s="18"/>
      <c r="LW18" s="17"/>
      <c r="LX18" s="17"/>
      <c r="LY18" s="17"/>
      <c r="LZ18" s="17"/>
      <c r="MA18" s="17"/>
      <c r="MB18" s="18"/>
      <c r="MC18" s="17"/>
      <c r="MD18" s="294">
        <f t="shared" si="80"/>
        <v>12</v>
      </c>
      <c r="ME18" s="304" t="s">
        <v>53</v>
      </c>
      <c r="MF18" s="303">
        <f>N18</f>
        <v>8265761.8626006208</v>
      </c>
      <c r="MG18" s="381">
        <f t="shared" si="101"/>
        <v>0.36971202603463738</v>
      </c>
      <c r="MH18" s="297">
        <f>MF18</f>
        <v>8265761.8626006208</v>
      </c>
      <c r="MI18" s="381">
        <f t="shared" si="102"/>
        <v>0.36971202603463738</v>
      </c>
      <c r="MJ18" s="17"/>
      <c r="MK18" s="18"/>
      <c r="ML18" s="17"/>
      <c r="MM18" s="294">
        <f t="shared" si="81"/>
        <v>12</v>
      </c>
      <c r="MN18" s="304" t="str">
        <f>ME18</f>
        <v>Equipment</v>
      </c>
      <c r="MO18" s="382">
        <v>6373694.2574856943</v>
      </c>
      <c r="MP18" s="303">
        <f>MF18</f>
        <v>8265761.8626006208</v>
      </c>
      <c r="MQ18" s="303">
        <f t="shared" si="72"/>
        <v>1892067.6051149266</v>
      </c>
      <c r="MR18" s="309">
        <f t="shared" si="73"/>
        <v>0.29685572113735381</v>
      </c>
      <c r="MS18" s="17"/>
      <c r="MT18" s="18"/>
      <c r="MU18" s="17"/>
    </row>
    <row r="19" spans="1:359" x14ac:dyDescent="0.3">
      <c r="B19" s="181">
        <f t="shared" si="74"/>
        <v>14</v>
      </c>
      <c r="C19" s="295"/>
      <c r="D19" s="17" t="s">
        <v>51</v>
      </c>
      <c r="E19" s="296"/>
      <c r="F19" s="297">
        <f>FB9</f>
        <v>4588338.7299999995</v>
      </c>
      <c r="G19" s="298">
        <f t="shared" si="95"/>
        <v>0.21837504080867864</v>
      </c>
      <c r="H19" s="297">
        <f>FI9</f>
        <v>4045250.160608368</v>
      </c>
      <c r="I19" s="299">
        <f t="shared" si="96"/>
        <v>0.19168888087718536</v>
      </c>
      <c r="J19" s="300">
        <f t="shared" si="54"/>
        <v>-543088.56939163152</v>
      </c>
      <c r="K19" s="297">
        <f>IT26+IV26</f>
        <v>4225334.1419304702</v>
      </c>
      <c r="L19" s="299">
        <f t="shared" si="97"/>
        <v>0.18805207428200083</v>
      </c>
      <c r="M19" s="300">
        <f t="shared" si="55"/>
        <v>180083.98132210225</v>
      </c>
      <c r="N19" s="297">
        <f>KX27+KZ27</f>
        <v>4339002.150706402</v>
      </c>
      <c r="O19" s="299">
        <f t="shared" si="98"/>
        <v>0.19407542858990573</v>
      </c>
      <c r="P19" s="300">
        <f t="shared" si="56"/>
        <v>113668.00877593178</v>
      </c>
      <c r="Q19" s="297">
        <f t="shared" si="57"/>
        <v>-249336.57929359749</v>
      </c>
      <c r="R19" s="301">
        <f t="shared" si="58"/>
        <v>-0.11127467740263475</v>
      </c>
      <c r="V19" s="348">
        <f t="shared" si="59"/>
        <v>10</v>
      </c>
      <c r="W19" s="349" t="s">
        <v>181</v>
      </c>
      <c r="X19" s="264">
        <f>X18/N$24*100</f>
        <v>-5.9522570794952635E-2</v>
      </c>
      <c r="Y19" s="264">
        <f>Y18/N$24*100</f>
        <v>0.156564260047205</v>
      </c>
      <c r="Z19" s="264">
        <f>Z18/N$24*100</f>
        <v>0.5442596890040069</v>
      </c>
      <c r="AA19" s="264">
        <f>AA18/N$24*100</f>
        <v>0.64130137825625932</v>
      </c>
      <c r="AB19" s="299"/>
      <c r="AC19" s="306"/>
      <c r="AF19" s="204">
        <f t="shared" si="75"/>
        <v>13</v>
      </c>
      <c r="AG19" s="304" t="s">
        <v>78</v>
      </c>
      <c r="AH19" s="24">
        <f>AH15*KN27</f>
        <v>1960681.4822902731</v>
      </c>
      <c r="AI19" s="24">
        <f>AI15*KN27</f>
        <v>132866.0662725741</v>
      </c>
      <c r="AJ19" s="24">
        <f>AJ15*KM27</f>
        <v>593111.27312649775</v>
      </c>
      <c r="AL19" s="437"/>
      <c r="AN19" s="294">
        <f t="shared" si="104"/>
        <v>14</v>
      </c>
      <c r="AO19" s="2"/>
      <c r="AP19" s="474" t="s">
        <v>60</v>
      </c>
      <c r="AQ19" s="6"/>
      <c r="AR19" s="296"/>
      <c r="AS19" s="306">
        <v>32802383.3928</v>
      </c>
      <c r="AT19" s="307">
        <v>3.1987333437832652</v>
      </c>
      <c r="AU19" s="308"/>
      <c r="AV19" s="306">
        <v>36250313.730549999</v>
      </c>
      <c r="AW19" s="307">
        <v>3.359065788539803</v>
      </c>
      <c r="AX19" s="309">
        <f t="shared" si="85"/>
        <v>5.012372946564736E-2</v>
      </c>
      <c r="AY19" s="308"/>
      <c r="AZ19" s="306">
        <v>43223045.707989462</v>
      </c>
      <c r="BA19" s="307">
        <v>3.3502683932407789</v>
      </c>
      <c r="BB19" s="309">
        <f t="shared" si="86"/>
        <v>-2.6190005950578188E-3</v>
      </c>
      <c r="BC19" s="308"/>
      <c r="BD19" s="306">
        <v>49380961.369565383</v>
      </c>
      <c r="BE19" s="307">
        <v>3.3578537497555252</v>
      </c>
      <c r="BF19" s="309">
        <f t="shared" si="87"/>
        <v>2.2641041326867395E-3</v>
      </c>
      <c r="BG19" s="308"/>
      <c r="BH19" s="306">
        <v>57308507.547660008</v>
      </c>
      <c r="BI19" s="307">
        <v>3.7711862224659241</v>
      </c>
      <c r="BJ19" s="309">
        <f t="shared" si="88"/>
        <v>0.12309424516791179</v>
      </c>
      <c r="BK19" s="308"/>
      <c r="BL19" s="306">
        <v>61753474.575707734</v>
      </c>
      <c r="BM19" s="307">
        <v>3.6711456534132534</v>
      </c>
      <c r="BN19" s="309">
        <f t="shared" si="89"/>
        <v>-2.6527613103989212E-2</v>
      </c>
      <c r="BO19" s="308"/>
      <c r="BP19" s="306">
        <v>74174917.572400004</v>
      </c>
      <c r="BQ19" s="307">
        <v>3.9990987993156044</v>
      </c>
      <c r="BR19" s="309">
        <f t="shared" si="90"/>
        <v>8.9332643502563425E-2</v>
      </c>
      <c r="BS19" s="308"/>
      <c r="BT19" s="17">
        <v>83233170</v>
      </c>
      <c r="BU19" s="17">
        <v>4.24</v>
      </c>
      <c r="BV19" s="17">
        <f t="shared" si="91"/>
        <v>6.0238871999267252E-2</v>
      </c>
      <c r="BW19" s="310">
        <v>91278660.188299984</v>
      </c>
      <c r="BX19" s="311">
        <v>4.7155047883804926</v>
      </c>
      <c r="BY19" s="312">
        <f t="shared" si="60"/>
        <v>0.11214735575011603</v>
      </c>
      <c r="BZ19" s="312">
        <v>96836161.677461118</v>
      </c>
      <c r="CA19" s="312">
        <v>4.7471100714133083</v>
      </c>
      <c r="CB19" s="312">
        <f t="shared" si="61"/>
        <v>6.7024177582630795E-3</v>
      </c>
      <c r="CC19" s="312">
        <v>99050498.270500004</v>
      </c>
      <c r="CD19" s="312">
        <v>4.7657348067469085</v>
      </c>
      <c r="CE19" s="475">
        <f t="shared" si="99"/>
        <v>3.923383922727286E-3</v>
      </c>
      <c r="CF19" s="297">
        <v>104216563.686424</v>
      </c>
      <c r="CG19" s="312">
        <v>5.0090290502861157</v>
      </c>
      <c r="CH19" s="475">
        <f t="shared" si="92"/>
        <v>5.1050730559907054E-2</v>
      </c>
      <c r="CI19" s="297">
        <f>F21</f>
        <v>108469045.26460001</v>
      </c>
      <c r="CJ19" s="312">
        <f>G21</f>
        <v>5.1624201219632804</v>
      </c>
      <c r="CK19" s="475">
        <f t="shared" si="93"/>
        <v>3.0622915167242359E-2</v>
      </c>
      <c r="CL19" s="314">
        <f>CI19/AS19-1</f>
        <v>2.3067428048051095</v>
      </c>
      <c r="CM19" s="475">
        <f>(CL19+1)^(1/(2023-2004))-1</f>
        <v>6.4968749655881508E-2</v>
      </c>
      <c r="DD19" s="406"/>
      <c r="DE19" s="427"/>
      <c r="DF19" s="24"/>
      <c r="DG19" s="17"/>
      <c r="DH19" s="24"/>
      <c r="DQ19" s="17"/>
      <c r="DX19" s="17"/>
      <c r="DY19" s="17"/>
      <c r="DZ19" s="17"/>
      <c r="EA19" s="17"/>
      <c r="EB19" s="17"/>
      <c r="EU19" s="375"/>
      <c r="FK19" s="375"/>
      <c r="FM19" s="294">
        <f t="shared" si="79"/>
        <v>14</v>
      </c>
      <c r="FN19" s="321"/>
      <c r="FO19" s="322" t="s">
        <v>222</v>
      </c>
      <c r="FP19" s="303">
        <v>93782.948999999993</v>
      </c>
      <c r="FQ19" s="303">
        <v>85242.99</v>
      </c>
      <c r="FR19" s="303">
        <v>159253.69999999998</v>
      </c>
      <c r="FS19" s="300">
        <f t="shared" si="23"/>
        <v>338279.63899999997</v>
      </c>
      <c r="FT19" s="303">
        <v>94081.70259999999</v>
      </c>
      <c r="FU19" s="303">
        <v>85242.99</v>
      </c>
      <c r="FV19" s="303">
        <v>160557.36666666664</v>
      </c>
      <c r="FW19" s="303">
        <v>339882.05926666665</v>
      </c>
      <c r="FX19" s="303">
        <v>339882.05926666665</v>
      </c>
      <c r="FY19" s="21"/>
      <c r="FZ19" s="375"/>
      <c r="HC19" s="294">
        <v>14</v>
      </c>
      <c r="HD19" s="278">
        <v>14</v>
      </c>
      <c r="HE19" s="278">
        <v>11</v>
      </c>
      <c r="HF19" s="278">
        <v>13</v>
      </c>
      <c r="HG19" s="305">
        <v>138855409</v>
      </c>
      <c r="HH19" s="305">
        <v>164625203</v>
      </c>
      <c r="HI19" s="299">
        <f t="shared" si="2"/>
        <v>1.1818181818181819</v>
      </c>
      <c r="HJ19" s="299">
        <f t="shared" si="3"/>
        <v>1.1855872535725274</v>
      </c>
      <c r="HK19" s="301">
        <v>0</v>
      </c>
      <c r="HL19" s="301">
        <v>1</v>
      </c>
      <c r="HM19" s="301">
        <v>0</v>
      </c>
      <c r="HQ19" s="324">
        <v>14</v>
      </c>
      <c r="HR19" s="325">
        <v>14</v>
      </c>
      <c r="HS19" s="326">
        <f t="shared" si="4"/>
        <v>1.1855872535725274</v>
      </c>
      <c r="HT19" s="303">
        <v>50842.009999999995</v>
      </c>
      <c r="HU19" s="300">
        <f t="shared" si="24"/>
        <v>60277.639002006967</v>
      </c>
      <c r="HV19" s="303">
        <v>15322762</v>
      </c>
      <c r="HW19" s="300">
        <v>18150922</v>
      </c>
      <c r="HX19" s="303">
        <v>7793189.8315999992</v>
      </c>
      <c r="HY19" s="300">
        <v>8649894</v>
      </c>
      <c r="HZ19" s="303">
        <v>247500</v>
      </c>
      <c r="IA19" s="303">
        <v>292500</v>
      </c>
      <c r="IB19" s="303">
        <f t="shared" si="25"/>
        <v>8091531.841599999</v>
      </c>
      <c r="IC19" s="303">
        <f t="shared" si="25"/>
        <v>9002671.6390020065</v>
      </c>
      <c r="ID19" s="269"/>
      <c r="IE19" s="270"/>
      <c r="IF19" s="269"/>
      <c r="IG19" s="327">
        <v>14</v>
      </c>
      <c r="IH19" s="325">
        <v>14</v>
      </c>
      <c r="II19" s="328">
        <f t="shared" si="5"/>
        <v>1.1818181818181819</v>
      </c>
      <c r="IJ19" s="329">
        <f t="shared" si="5"/>
        <v>1.1855872535725274</v>
      </c>
      <c r="IK19" s="303">
        <v>3336111.6648055017</v>
      </c>
      <c r="IL19" s="300">
        <f t="shared" si="65"/>
        <v>3955251.4662880269</v>
      </c>
      <c r="IM19" s="303">
        <v>145691.26755680772</v>
      </c>
      <c r="IN19" s="300">
        <f t="shared" si="26"/>
        <v>172729.70977217593</v>
      </c>
      <c r="IO19" s="303">
        <v>1442873.7576944989</v>
      </c>
      <c r="IP19" s="300">
        <f t="shared" si="27"/>
        <v>1705214.4409116805</v>
      </c>
      <c r="IQ19" s="303">
        <v>1702134.6</v>
      </c>
      <c r="IR19" s="300">
        <v>1920949.6</v>
      </c>
      <c r="IS19" s="303">
        <v>88775.354054377443</v>
      </c>
      <c r="IT19" s="300">
        <f t="shared" si="28"/>
        <v>105250.92819825809</v>
      </c>
      <c r="IU19" s="303">
        <v>60440.200000000004</v>
      </c>
      <c r="IV19" s="300">
        <f t="shared" si="29"/>
        <v>71657.13072337427</v>
      </c>
      <c r="IW19" s="303">
        <v>403646.67499999999</v>
      </c>
      <c r="IX19" s="300">
        <f t="shared" si="30"/>
        <v>478558.3528269325</v>
      </c>
      <c r="IY19" s="303">
        <v>755705.94641506614</v>
      </c>
      <c r="IZ19" s="300">
        <f t="shared" si="31"/>
        <v>895955.33751866582</v>
      </c>
      <c r="JA19" s="303">
        <f t="shared" si="32"/>
        <v>7935379.4655262511</v>
      </c>
      <c r="JB19" s="303">
        <f t="shared" si="32"/>
        <v>9305566.9662391134</v>
      </c>
      <c r="JC19" s="330">
        <f t="shared" si="6"/>
        <v>5.6525773676580453</v>
      </c>
      <c r="JG19" s="294">
        <v>14</v>
      </c>
      <c r="JH19" s="278">
        <v>14</v>
      </c>
      <c r="JI19" s="17">
        <f t="shared" si="7"/>
        <v>13</v>
      </c>
      <c r="JJ19" s="23">
        <f>JI19</f>
        <v>13</v>
      </c>
      <c r="JK19" s="331">
        <f t="shared" si="8"/>
        <v>164625203</v>
      </c>
      <c r="JL19" s="331">
        <f t="shared" si="9"/>
        <v>163807093.4109557</v>
      </c>
      <c r="JM19" s="332">
        <f t="shared" si="34"/>
        <v>1</v>
      </c>
      <c r="JN19" s="332">
        <f t="shared" si="35"/>
        <v>0.99503047179814685</v>
      </c>
      <c r="JO19" s="332">
        <f t="shared" si="36"/>
        <v>1.0269969484737218</v>
      </c>
      <c r="JP19" s="278" t="s">
        <v>241</v>
      </c>
      <c r="JQ19" s="278"/>
      <c r="JR19" s="279"/>
      <c r="JS19" s="278"/>
      <c r="JT19" s="294">
        <v>14</v>
      </c>
      <c r="JU19" s="278">
        <v>14</v>
      </c>
      <c r="JV19" s="405" t="str">
        <f t="shared" si="10"/>
        <v>Q3</v>
      </c>
      <c r="JW19" s="334">
        <f t="shared" si="11"/>
        <v>1.0269969484737218</v>
      </c>
      <c r="JX19" s="319">
        <f t="shared" si="37"/>
        <v>60277.639002006967</v>
      </c>
      <c r="JY19" s="319">
        <f t="shared" si="38"/>
        <v>61904.951316261751</v>
      </c>
      <c r="JZ19" s="319">
        <f t="shared" si="12"/>
        <v>18150922</v>
      </c>
      <c r="KA19" s="319">
        <f t="shared" si="39"/>
        <v>18050692.955864385</v>
      </c>
      <c r="KB19" s="319">
        <f t="shared" si="13"/>
        <v>8649894</v>
      </c>
      <c r="KC19" s="319">
        <f t="shared" si="14"/>
        <v>9246787.6460608188</v>
      </c>
      <c r="KD19" s="319">
        <f t="shared" si="40"/>
        <v>292500</v>
      </c>
      <c r="KE19" s="319">
        <f t="shared" si="41"/>
        <v>347172.35053736792</v>
      </c>
      <c r="KF19" s="319">
        <f t="shared" si="42"/>
        <v>9002671.6390020065</v>
      </c>
      <c r="KG19" s="319">
        <f t="shared" si="42"/>
        <v>9655864.9479144476</v>
      </c>
      <c r="KH19" s="282"/>
      <c r="KI19" s="279"/>
      <c r="KJ19" s="278"/>
      <c r="KK19" s="335">
        <f t="shared" si="66"/>
        <v>14</v>
      </c>
      <c r="KL19" s="336">
        <v>13</v>
      </c>
      <c r="KM19" s="337">
        <f t="shared" si="67"/>
        <v>1</v>
      </c>
      <c r="KN19" s="337">
        <f t="shared" si="67"/>
        <v>0.99503047179814674</v>
      </c>
      <c r="KO19" s="275">
        <v>1.69933333</v>
      </c>
      <c r="KP19" s="245">
        <f t="shared" si="68"/>
        <v>1602906.2149916859</v>
      </c>
      <c r="KQ19" s="275">
        <v>1.69933333</v>
      </c>
      <c r="KR19" s="245">
        <f t="shared" si="43"/>
        <v>74828.43785976783</v>
      </c>
      <c r="KS19" s="275">
        <v>1.69933333</v>
      </c>
      <c r="KT19" s="245">
        <f t="shared" si="44"/>
        <v>1053998.0860992251</v>
      </c>
      <c r="KU19" s="275">
        <v>1.7150382799999999</v>
      </c>
      <c r="KV19" s="245">
        <f t="shared" si="69"/>
        <v>1186601.0570938115</v>
      </c>
      <c r="KW19" s="275">
        <v>1.69933333</v>
      </c>
      <c r="KX19" s="245">
        <f t="shared" si="45"/>
        <v>61225.152300322625</v>
      </c>
      <c r="KY19" s="275">
        <v>1.69933333</v>
      </c>
      <c r="KZ19" s="245">
        <f t="shared" si="46"/>
        <v>92155.526090643034</v>
      </c>
      <c r="LA19" s="275">
        <v>1.69933333</v>
      </c>
      <c r="LB19" s="245">
        <f t="shared" si="47"/>
        <v>201153.54464286417</v>
      </c>
      <c r="LC19" s="275">
        <v>1.69933333</v>
      </c>
      <c r="LD19" s="338">
        <f t="shared" si="48"/>
        <v>437714.192089674</v>
      </c>
      <c r="LE19" s="339">
        <f t="shared" si="49"/>
        <v>4586749.7588456869</v>
      </c>
      <c r="LF19" s="339">
        <f t="shared" si="70"/>
        <v>4710582.211167994</v>
      </c>
      <c r="LG19" s="21"/>
      <c r="LH19" s="291"/>
      <c r="LJ19" s="294">
        <v>14</v>
      </c>
      <c r="LK19" s="340">
        <v>14</v>
      </c>
      <c r="LL19" s="303">
        <f t="shared" si="15"/>
        <v>8091531.841599999</v>
      </c>
      <c r="LM19" s="303">
        <f t="shared" si="15"/>
        <v>9002671.6390020065</v>
      </c>
      <c r="LN19" s="300">
        <f t="shared" si="16"/>
        <v>9655864.9479144476</v>
      </c>
      <c r="LO19" s="303">
        <f t="shared" si="17"/>
        <v>7935379.4655262511</v>
      </c>
      <c r="LP19" s="303">
        <f t="shared" si="17"/>
        <v>9305566.9662391134</v>
      </c>
      <c r="LQ19" s="300">
        <f t="shared" si="50"/>
        <v>9556788.8781454377</v>
      </c>
      <c r="LR19" s="303">
        <f t="shared" si="51"/>
        <v>156152.37607374787</v>
      </c>
      <c r="LS19" s="303">
        <f t="shared" si="51"/>
        <v>-302895.32723710686</v>
      </c>
      <c r="LT19" s="303">
        <f t="shared" si="51"/>
        <v>99076.069769009948</v>
      </c>
      <c r="MD19" s="237">
        <f t="shared" si="80"/>
        <v>13</v>
      </c>
      <c r="ME19" s="351" t="s">
        <v>51</v>
      </c>
      <c r="MF19" s="244">
        <f>N19</f>
        <v>4339002.150706402</v>
      </c>
      <c r="MG19" s="341">
        <f t="shared" si="101"/>
        <v>0.19407542858990573</v>
      </c>
      <c r="MH19" s="342">
        <f>MF19</f>
        <v>4339002.150706402</v>
      </c>
      <c r="MI19" s="341">
        <f t="shared" si="102"/>
        <v>0.19407542858990573</v>
      </c>
      <c r="MM19" s="237">
        <f t="shared" si="81"/>
        <v>13</v>
      </c>
      <c r="MN19" s="351" t="str">
        <f>ME19</f>
        <v>Vehicle</v>
      </c>
      <c r="MO19" s="344">
        <v>4033354.9580523474</v>
      </c>
      <c r="MP19" s="244">
        <f>MF19</f>
        <v>4339002.150706402</v>
      </c>
      <c r="MQ19" s="244">
        <f t="shared" si="72"/>
        <v>305647.19265405461</v>
      </c>
      <c r="MR19" s="361">
        <f t="shared" si="73"/>
        <v>7.5779889405431233E-2</v>
      </c>
    </row>
    <row r="20" spans="1:359" s="35" customFormat="1" x14ac:dyDescent="0.3">
      <c r="B20" s="220">
        <f t="shared" si="74"/>
        <v>15</v>
      </c>
      <c r="C20" s="346"/>
      <c r="D20" s="353" t="s">
        <v>54</v>
      </c>
      <c r="E20" s="240"/>
      <c r="F20" s="342">
        <f>FS37</f>
        <v>13267583.3847</v>
      </c>
      <c r="G20" s="347">
        <f t="shared" si="95"/>
        <v>0.63145056055318949</v>
      </c>
      <c r="H20" s="342">
        <f>FX37</f>
        <v>12512679.929996049</v>
      </c>
      <c r="I20" s="264">
        <f t="shared" si="96"/>
        <v>0.59292788265896568</v>
      </c>
      <c r="J20" s="245">
        <f t="shared" si="54"/>
        <v>-754903.45470395125</v>
      </c>
      <c r="K20" s="342">
        <f>IZ26</f>
        <v>13363985.611233734</v>
      </c>
      <c r="L20" s="264">
        <f t="shared" si="97"/>
        <v>0.59477549714426137</v>
      </c>
      <c r="M20" s="245">
        <f t="shared" si="55"/>
        <v>851305.68123768456</v>
      </c>
      <c r="N20" s="342">
        <f>LD27</f>
        <v>13723237.641003413</v>
      </c>
      <c r="O20" s="264">
        <f t="shared" si="98"/>
        <v>0.61381468234240544</v>
      </c>
      <c r="P20" s="245">
        <f t="shared" si="56"/>
        <v>359252.02976967953</v>
      </c>
      <c r="Q20" s="342">
        <f t="shared" si="57"/>
        <v>455654.25630341284</v>
      </c>
      <c r="R20" s="265">
        <f t="shared" si="58"/>
        <v>-2.7929151247144235E-2</v>
      </c>
      <c r="S20" s="17"/>
      <c r="T20" s="18"/>
      <c r="U20" s="17"/>
      <c r="V20" s="204">
        <f t="shared" si="59"/>
        <v>11</v>
      </c>
      <c r="W20" s="436" t="s">
        <v>134</v>
      </c>
      <c r="X20" s="303">
        <f>X18-X14</f>
        <v>-186344.77532764478</v>
      </c>
      <c r="Y20" s="303">
        <f t="shared" ref="Y20:AA20" si="105">Y18-Y14</f>
        <v>1880595.7622776555</v>
      </c>
      <c r="Z20" s="303">
        <f t="shared" si="105"/>
        <v>3654391.5702031478</v>
      </c>
      <c r="AA20" s="303">
        <f t="shared" si="105"/>
        <v>5348642.5571531579</v>
      </c>
      <c r="AB20" s="303"/>
      <c r="AC20" s="307"/>
      <c r="AD20" s="18"/>
      <c r="AE20" s="17"/>
      <c r="AF20" s="348">
        <f t="shared" si="75"/>
        <v>14</v>
      </c>
      <c r="AG20" s="351" t="s">
        <v>182</v>
      </c>
      <c r="AH20" s="352">
        <f>AH19*3600/$N$24</f>
        <v>3.1571137990576377</v>
      </c>
      <c r="AI20" s="352">
        <f>AI19*3600/$N$24</f>
        <v>0.21394259855285791</v>
      </c>
      <c r="AJ20" s="352">
        <f>AJ19*3600/$N$24</f>
        <v>0.95503517612509814</v>
      </c>
      <c r="AK20" s="17"/>
      <c r="AL20" s="437"/>
      <c r="AM20" s="17"/>
      <c r="AN20" s="237">
        <f t="shared" si="104"/>
        <v>15</v>
      </c>
      <c r="AO20" s="238"/>
      <c r="AP20" s="236" t="s">
        <v>223</v>
      </c>
      <c r="AQ20" s="12"/>
      <c r="AR20" s="240"/>
      <c r="AS20" s="355">
        <v>8347158.8556000106</v>
      </c>
      <c r="AT20" s="356">
        <v>0.81397546749984451</v>
      </c>
      <c r="AU20" s="357"/>
      <c r="AV20" s="355">
        <v>7285795.8646500036</v>
      </c>
      <c r="AW20" s="356">
        <v>0.67512429859622292</v>
      </c>
      <c r="AX20" s="345">
        <f t="shared" si="85"/>
        <v>-0.17058397267193814</v>
      </c>
      <c r="AY20" s="357"/>
      <c r="AZ20" s="355">
        <v>9252422.5520105362</v>
      </c>
      <c r="BA20" s="356">
        <v>0.71716600089519644</v>
      </c>
      <c r="BB20" s="345">
        <f t="shared" si="86"/>
        <v>6.2272536163178183E-2</v>
      </c>
      <c r="BC20" s="357"/>
      <c r="BD20" s="355">
        <v>10915527.954034619</v>
      </c>
      <c r="BE20" s="356">
        <v>0.74224448966694945</v>
      </c>
      <c r="BF20" s="345">
        <f t="shared" si="87"/>
        <v>3.4968875742086292E-2</v>
      </c>
      <c r="BG20" s="357"/>
      <c r="BH20" s="355">
        <v>3838414.9907733351</v>
      </c>
      <c r="BI20" s="356">
        <v>0.25258689065096962</v>
      </c>
      <c r="BJ20" s="345">
        <f t="shared" si="88"/>
        <v>-0.65969853038005422</v>
      </c>
      <c r="BK20" s="357"/>
      <c r="BL20" s="355">
        <v>5658223.4029922634</v>
      </c>
      <c r="BM20" s="356">
        <v>0.33637236438364621</v>
      </c>
      <c r="BN20" s="345">
        <f t="shared" si="89"/>
        <v>0.33170951000958038</v>
      </c>
      <c r="BO20" s="357"/>
      <c r="BP20" s="355">
        <v>8558427.9676000625</v>
      </c>
      <c r="BQ20" s="356">
        <v>0.46142281150297859</v>
      </c>
      <c r="BR20" s="345">
        <f t="shared" si="90"/>
        <v>0.37176195300249848</v>
      </c>
      <c r="BS20" s="357"/>
      <c r="BT20" s="35">
        <v>12790093</v>
      </c>
      <c r="BU20" s="35">
        <v>0.65</v>
      </c>
      <c r="BV20" s="35">
        <f t="shared" si="91"/>
        <v>0.40868631501501773</v>
      </c>
      <c r="BW20" s="358">
        <v>16992816.141500026</v>
      </c>
      <c r="BX20" s="359">
        <v>0.87785804171546822</v>
      </c>
      <c r="BY20" s="360">
        <f t="shared" si="60"/>
        <v>0.35055083340841264</v>
      </c>
      <c r="BZ20" s="360">
        <v>13569776.854138836</v>
      </c>
      <c r="CA20" s="360">
        <v>0.66521868747413349</v>
      </c>
      <c r="CB20" s="360">
        <f t="shared" si="61"/>
        <v>-0.24222521653478857</v>
      </c>
      <c r="CC20" s="360">
        <v>5345041.1556581259</v>
      </c>
      <c r="CD20" s="360">
        <v>0.25717234263122563</v>
      </c>
      <c r="CE20" s="361">
        <f t="shared" si="99"/>
        <v>-0.61340180684381995</v>
      </c>
      <c r="CF20" s="342">
        <v>7158976.8429704905</v>
      </c>
      <c r="CG20" s="360">
        <v>0.3440865991769031</v>
      </c>
      <c r="CH20" s="361">
        <f t="shared" si="92"/>
        <v>0.33796113398674787</v>
      </c>
      <c r="CI20" s="342">
        <f>F22</f>
        <v>14101397.670300007</v>
      </c>
      <c r="CJ20" s="360">
        <f>G22</f>
        <v>0.67113469011717242</v>
      </c>
      <c r="CK20" s="361">
        <f t="shared" si="93"/>
        <v>0.95048191857110398</v>
      </c>
      <c r="CL20" s="362">
        <f>CI20/AS20-1</f>
        <v>0.68936495809463905</v>
      </c>
      <c r="CM20" s="361">
        <f>(CL20+1)^(1/(2023-2004))-1</f>
        <v>2.7981848940103804E-2</v>
      </c>
      <c r="CN20" s="17"/>
      <c r="CO20" s="18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8"/>
      <c r="DC20" s="17"/>
      <c r="DD20" s="406"/>
      <c r="DE20" s="407"/>
      <c r="DF20" s="408"/>
      <c r="DG20" s="17"/>
      <c r="DH20" s="408"/>
      <c r="DI20" s="17"/>
      <c r="DJ20" s="17"/>
      <c r="DK20" s="17"/>
      <c r="DL20" s="18"/>
      <c r="DM20" s="17"/>
      <c r="DN20" s="17"/>
      <c r="DO20" s="17"/>
      <c r="DP20" s="17"/>
      <c r="DQ20" s="17"/>
      <c r="DR20" s="17"/>
      <c r="DS20" s="17"/>
      <c r="DT20" s="17"/>
      <c r="DU20" s="18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8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375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375"/>
      <c r="FL20" s="17"/>
      <c r="FM20" s="461">
        <f t="shared" si="79"/>
        <v>15</v>
      </c>
      <c r="FN20" s="476"/>
      <c r="FO20" s="477" t="s">
        <v>224</v>
      </c>
      <c r="FP20" s="478">
        <f>SUM(FP7:FP19)</f>
        <v>1522773.9925000002</v>
      </c>
      <c r="FQ20" s="478">
        <f>SUM(FQ7:FQ19)</f>
        <v>2368315.69</v>
      </c>
      <c r="FR20" s="478">
        <f>SUM(FR7:FR19)</f>
        <v>4341995.7367999991</v>
      </c>
      <c r="FS20" s="479">
        <f t="shared" si="23"/>
        <v>8233085.4192999993</v>
      </c>
      <c r="FT20" s="478">
        <v>1526755.7016333332</v>
      </c>
      <c r="FU20" s="478">
        <v>2232821.3000000003</v>
      </c>
      <c r="FV20" s="478">
        <v>4321695.6834666664</v>
      </c>
      <c r="FW20" s="478">
        <v>8081272.6850999994</v>
      </c>
      <c r="FX20" s="478">
        <v>8081272.6850999994</v>
      </c>
      <c r="FY20" s="21"/>
      <c r="FZ20" s="375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8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8"/>
      <c r="HA20" s="17"/>
      <c r="HB20" s="17"/>
      <c r="HC20" s="237">
        <v>15</v>
      </c>
      <c r="HD20" s="261">
        <v>15</v>
      </c>
      <c r="HE20" s="261">
        <v>10</v>
      </c>
      <c r="HF20" s="261">
        <v>9</v>
      </c>
      <c r="HG20" s="262">
        <v>149862493</v>
      </c>
      <c r="HH20" s="262">
        <v>133820862</v>
      </c>
      <c r="HI20" s="264">
        <f t="shared" si="2"/>
        <v>0.9</v>
      </c>
      <c r="HJ20" s="264">
        <f t="shared" si="3"/>
        <v>0.89295766619870653</v>
      </c>
      <c r="HK20" s="265">
        <v>0</v>
      </c>
      <c r="HL20" s="265">
        <v>0.77777777777777779</v>
      </c>
      <c r="HM20" s="265">
        <v>0.22222222222222221</v>
      </c>
      <c r="HN20" s="17"/>
      <c r="HO20" s="18"/>
      <c r="HP20" s="17"/>
      <c r="HQ20" s="377">
        <v>15</v>
      </c>
      <c r="HR20" s="272">
        <v>15</v>
      </c>
      <c r="HS20" s="268">
        <f t="shared" si="4"/>
        <v>0.89295766619870653</v>
      </c>
      <c r="HT20" s="244">
        <v>76746</v>
      </c>
      <c r="HU20" s="245">
        <f>HS20*HT20</f>
        <v>68530.929050085935</v>
      </c>
      <c r="HV20" s="244">
        <v>16537856</v>
      </c>
      <c r="HW20" s="245">
        <v>14762631</v>
      </c>
      <c r="HX20" s="244">
        <v>8167552.2430999996</v>
      </c>
      <c r="HY20" s="245">
        <v>6995452</v>
      </c>
      <c r="HZ20" s="244">
        <v>225000</v>
      </c>
      <c r="IA20" s="244">
        <v>202500</v>
      </c>
      <c r="IB20" s="244">
        <f t="shared" si="25"/>
        <v>8469298.2430999987</v>
      </c>
      <c r="IC20" s="244">
        <f t="shared" si="25"/>
        <v>7266482.9290500861</v>
      </c>
      <c r="ID20" s="269"/>
      <c r="IE20" s="270"/>
      <c r="IF20" s="269"/>
      <c r="IG20" s="271">
        <v>15</v>
      </c>
      <c r="IH20" s="272">
        <v>15</v>
      </c>
      <c r="II20" s="273">
        <f t="shared" si="5"/>
        <v>0.9</v>
      </c>
      <c r="IJ20" s="274">
        <f t="shared" si="5"/>
        <v>0.89295766619870653</v>
      </c>
      <c r="IK20" s="244">
        <v>2534921.9407672323</v>
      </c>
      <c r="IL20" s="245">
        <f t="shared" si="65"/>
        <v>2263577.9802234038</v>
      </c>
      <c r="IM20" s="244">
        <v>132350.94130649266</v>
      </c>
      <c r="IN20" s="245">
        <f t="shared" si="26"/>
        <v>118183.78766824768</v>
      </c>
      <c r="IO20" s="244">
        <v>1362519.6707327678</v>
      </c>
      <c r="IP20" s="245">
        <f t="shared" si="27"/>
        <v>1226267.7036594911</v>
      </c>
      <c r="IQ20" s="244">
        <v>1701488.4</v>
      </c>
      <c r="IR20" s="245">
        <v>1480668.4</v>
      </c>
      <c r="IS20" s="244">
        <v>195945.17663033435</v>
      </c>
      <c r="IT20" s="245">
        <f t="shared" si="28"/>
        <v>174970.74762671668</v>
      </c>
      <c r="IU20" s="244">
        <v>50565.859999999971</v>
      </c>
      <c r="IV20" s="245">
        <f t="shared" si="29"/>
        <v>45153.172334930503</v>
      </c>
      <c r="IW20" s="244">
        <v>310100.05</v>
      </c>
      <c r="IX20" s="245">
        <f t="shared" si="30"/>
        <v>276906.2169361022</v>
      </c>
      <c r="IY20" s="244">
        <v>905012.32190184528</v>
      </c>
      <c r="IZ20" s="245">
        <f t="shared" si="31"/>
        <v>808137.69084654434</v>
      </c>
      <c r="JA20" s="244">
        <f t="shared" si="32"/>
        <v>7192904.3613386722</v>
      </c>
      <c r="JB20" s="244">
        <f t="shared" si="32"/>
        <v>6393865.699295437</v>
      </c>
      <c r="JC20" s="275">
        <f t="shared" si="6"/>
        <v>4.7779289445134774</v>
      </c>
      <c r="JD20" s="17"/>
      <c r="JE20" s="18"/>
      <c r="JF20" s="17"/>
      <c r="JG20" s="237">
        <v>15</v>
      </c>
      <c r="JH20" s="261">
        <v>15</v>
      </c>
      <c r="JI20" s="35">
        <f t="shared" si="7"/>
        <v>9</v>
      </c>
      <c r="JJ20" s="353">
        <f>JI20</f>
        <v>9</v>
      </c>
      <c r="JK20" s="243">
        <f t="shared" si="8"/>
        <v>133820862</v>
      </c>
      <c r="JL20" s="243">
        <f t="shared" si="9"/>
        <v>133155835.45229469</v>
      </c>
      <c r="JM20" s="277">
        <f t="shared" si="34"/>
        <v>1</v>
      </c>
      <c r="JN20" s="277">
        <f t="shared" si="35"/>
        <v>0.99503047179814674</v>
      </c>
      <c r="JO20" s="277">
        <f t="shared" si="36"/>
        <v>1.0269320748671029</v>
      </c>
      <c r="JP20" s="261" t="s">
        <v>241</v>
      </c>
      <c r="JQ20" s="278"/>
      <c r="JR20" s="279"/>
      <c r="JS20" s="278"/>
      <c r="JT20" s="237">
        <v>15</v>
      </c>
      <c r="JU20" s="261">
        <v>15</v>
      </c>
      <c r="JV20" s="280" t="str">
        <f t="shared" si="10"/>
        <v>Q3</v>
      </c>
      <c r="JW20" s="281">
        <f t="shared" si="11"/>
        <v>1.0269320748671029</v>
      </c>
      <c r="JX20" s="244">
        <f t="shared" si="37"/>
        <v>68530.929050085935</v>
      </c>
      <c r="JY20" s="244">
        <f t="shared" si="38"/>
        <v>70376.609161974964</v>
      </c>
      <c r="JZ20" s="244">
        <f t="shared" si="12"/>
        <v>14762631</v>
      </c>
      <c r="KA20" s="244">
        <f t="shared" si="39"/>
        <v>14673083.142992994</v>
      </c>
      <c r="KB20" s="244">
        <f t="shared" si="13"/>
        <v>6995452</v>
      </c>
      <c r="KC20" s="244">
        <f t="shared" si="14"/>
        <v>7516547.1080804663</v>
      </c>
      <c r="KD20" s="244">
        <f t="shared" si="40"/>
        <v>202500</v>
      </c>
      <c r="KE20" s="244">
        <f t="shared" si="41"/>
        <v>282210.14987284015</v>
      </c>
      <c r="KF20" s="244">
        <f t="shared" si="42"/>
        <v>7266482.9290500861</v>
      </c>
      <c r="KG20" s="244">
        <f t="shared" si="42"/>
        <v>7869133.8671152815</v>
      </c>
      <c r="KH20" s="282"/>
      <c r="KI20" s="279"/>
      <c r="KJ20" s="278"/>
      <c r="KK20" s="324">
        <f t="shared" si="66"/>
        <v>15</v>
      </c>
      <c r="KL20" s="325">
        <v>14</v>
      </c>
      <c r="KM20" s="378">
        <f t="shared" si="67"/>
        <v>1</v>
      </c>
      <c r="KN20" s="378">
        <f t="shared" si="67"/>
        <v>0.99503047179814685</v>
      </c>
      <c r="KO20" s="330">
        <v>1.69933333</v>
      </c>
      <c r="KP20" s="300">
        <f t="shared" si="68"/>
        <v>4061842.6419969457</v>
      </c>
      <c r="KQ20" s="330">
        <v>1.69933333</v>
      </c>
      <c r="KR20" s="300">
        <f t="shared" si="43"/>
        <v>177384.65093113985</v>
      </c>
      <c r="KS20" s="330">
        <v>1.69933333</v>
      </c>
      <c r="KT20" s="300">
        <f t="shared" si="44"/>
        <v>1759914.6864868419</v>
      </c>
      <c r="KU20" s="330">
        <v>1.7150382799999999</v>
      </c>
      <c r="KV20" s="300">
        <f t="shared" si="69"/>
        <v>1964415.4517274287</v>
      </c>
      <c r="KW20" s="330">
        <v>1.69933333</v>
      </c>
      <c r="KX20" s="300">
        <f t="shared" si="45"/>
        <v>108087.36483869149</v>
      </c>
      <c r="KY20" s="330">
        <v>1.69933333</v>
      </c>
      <c r="KZ20" s="300">
        <f t="shared" si="46"/>
        <v>73588.238739345863</v>
      </c>
      <c r="LA20" s="330">
        <v>1.69933333</v>
      </c>
      <c r="LB20" s="300">
        <f t="shared" si="47"/>
        <v>491455.15544692345</v>
      </c>
      <c r="LC20" s="330">
        <v>1.69933333</v>
      </c>
      <c r="LD20" s="300">
        <f t="shared" si="48"/>
        <v>920100.6879781204</v>
      </c>
      <c r="LE20" s="303">
        <f t="shared" si="49"/>
        <v>9305566.9662391134</v>
      </c>
      <c r="LF20" s="303">
        <f t="shared" si="70"/>
        <v>9556788.8781454377</v>
      </c>
      <c r="LG20" s="21"/>
      <c r="LH20" s="291"/>
      <c r="LI20" s="17"/>
      <c r="LJ20" s="237">
        <v>15</v>
      </c>
      <c r="LK20" s="292">
        <v>15</v>
      </c>
      <c r="LL20" s="244">
        <f t="shared" si="15"/>
        <v>8469298.2430999987</v>
      </c>
      <c r="LM20" s="244">
        <f t="shared" si="15"/>
        <v>7266482.9290500861</v>
      </c>
      <c r="LN20" s="245">
        <f t="shared" si="16"/>
        <v>7869133.8671152815</v>
      </c>
      <c r="LO20" s="244">
        <f t="shared" si="17"/>
        <v>7192904.3613386722</v>
      </c>
      <c r="LP20" s="244">
        <f t="shared" si="17"/>
        <v>6393865.699295437</v>
      </c>
      <c r="LQ20" s="245">
        <f t="shared" si="50"/>
        <v>6566065.7689990625</v>
      </c>
      <c r="LR20" s="244">
        <f t="shared" si="51"/>
        <v>1276393.8817613265</v>
      </c>
      <c r="LS20" s="244">
        <f t="shared" si="51"/>
        <v>872617.2297546491</v>
      </c>
      <c r="LT20" s="244">
        <f t="shared" si="51"/>
        <v>1303068.098116219</v>
      </c>
      <c r="LU20" s="17"/>
      <c r="LV20" s="18"/>
      <c r="LW20" s="17"/>
      <c r="LX20" s="17"/>
      <c r="LY20" s="17"/>
      <c r="LZ20" s="17"/>
      <c r="MA20" s="17"/>
      <c r="MB20" s="18"/>
      <c r="MC20" s="17"/>
      <c r="MD20" s="414">
        <f t="shared" si="80"/>
        <v>14</v>
      </c>
      <c r="ME20" s="386" t="s">
        <v>54</v>
      </c>
      <c r="MF20" s="445">
        <f>N20</f>
        <v>13723237.641003413</v>
      </c>
      <c r="MG20" s="446">
        <f t="shared" si="101"/>
        <v>0.61381468234240544</v>
      </c>
      <c r="MH20" s="447">
        <f>MF20</f>
        <v>13723237.641003413</v>
      </c>
      <c r="MI20" s="446">
        <f t="shared" si="102"/>
        <v>0.61381468234240544</v>
      </c>
      <c r="MJ20" s="17"/>
      <c r="MK20" s="18"/>
      <c r="ML20" s="17"/>
      <c r="MM20" s="414">
        <f t="shared" si="81"/>
        <v>14</v>
      </c>
      <c r="MN20" s="386" t="str">
        <f>ME20</f>
        <v>Overhead</v>
      </c>
      <c r="MO20" s="448">
        <v>13175615.227110483</v>
      </c>
      <c r="MP20" s="445">
        <f>MF20</f>
        <v>13723237.641003413</v>
      </c>
      <c r="MQ20" s="445">
        <f t="shared" si="72"/>
        <v>547622.41389293037</v>
      </c>
      <c r="MR20" s="449">
        <f t="shared" si="73"/>
        <v>4.1563327742459306E-2</v>
      </c>
      <c r="MS20" s="17"/>
      <c r="MT20" s="18"/>
      <c r="MU20" s="17"/>
    </row>
    <row r="21" spans="1:359" ht="17.25" thickBot="1" x14ac:dyDescent="0.35">
      <c r="A21" s="6"/>
      <c r="B21" s="181">
        <f t="shared" si="74"/>
        <v>16</v>
      </c>
      <c r="C21" s="450" t="s">
        <v>225</v>
      </c>
      <c r="D21" s="450"/>
      <c r="E21" s="451"/>
      <c r="F21" s="480">
        <f>SUM(F14:F20)</f>
        <v>108469045.26460001</v>
      </c>
      <c r="G21" s="481">
        <f t="shared" si="95"/>
        <v>5.1624201219632804</v>
      </c>
      <c r="H21" s="480">
        <f>SUM(H14:H20)</f>
        <v>107844652.21538754</v>
      </c>
      <c r="I21" s="482">
        <f t="shared" si="96"/>
        <v>5.1103441989970619</v>
      </c>
      <c r="J21" s="483">
        <f t="shared" si="54"/>
        <v>-624393.04921247065</v>
      </c>
      <c r="K21" s="480">
        <f>SUM(K14:K20)</f>
        <v>114312181.00401598</v>
      </c>
      <c r="L21" s="482">
        <f t="shared" si="97"/>
        <v>5.0875604227795712</v>
      </c>
      <c r="M21" s="483">
        <f t="shared" si="55"/>
        <v>6467528.7886284441</v>
      </c>
      <c r="N21" s="480">
        <f>SUM(N14:N20)</f>
        <v>117308393.00194727</v>
      </c>
      <c r="O21" s="482">
        <f t="shared" si="98"/>
        <v>5.246984412150967</v>
      </c>
      <c r="P21" s="483">
        <f t="shared" si="56"/>
        <v>2996211.9979312867</v>
      </c>
      <c r="Q21" s="480">
        <f t="shared" si="57"/>
        <v>8839347.7373472601</v>
      </c>
      <c r="R21" s="484">
        <f t="shared" si="58"/>
        <v>1.6380745501109351E-2</v>
      </c>
      <c r="V21" s="230"/>
      <c r="W21" s="231" t="s">
        <v>27</v>
      </c>
      <c r="X21" s="383"/>
      <c r="Y21" s="384"/>
      <c r="Z21" s="384"/>
      <c r="AA21" s="384"/>
      <c r="AB21" s="234"/>
      <c r="AC21" s="309"/>
      <c r="AF21" s="485">
        <f t="shared" si="75"/>
        <v>15</v>
      </c>
      <c r="AG21" s="486" t="s">
        <v>189</v>
      </c>
      <c r="AH21" s="487">
        <f>KP27/AH19</f>
        <v>21.816145236035442</v>
      </c>
      <c r="AI21" s="487">
        <f>KR27/AI19</f>
        <v>17.011503167326353</v>
      </c>
      <c r="AJ21" s="487">
        <f>KT27/AJ19</f>
        <v>31.593306170524464</v>
      </c>
      <c r="AL21" s="437"/>
      <c r="AN21" s="488" t="s">
        <v>226</v>
      </c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  <c r="BN21" s="488"/>
      <c r="BO21" s="488"/>
      <c r="BP21" s="488"/>
      <c r="BQ21" s="488"/>
      <c r="BR21" s="488"/>
      <c r="BS21" s="488"/>
      <c r="BT21" s="489"/>
      <c r="BU21" s="489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8"/>
      <c r="CM21" s="488"/>
      <c r="DD21" s="406"/>
      <c r="DE21" s="20"/>
      <c r="DF21" s="490"/>
      <c r="DG21" s="17"/>
      <c r="DH21" s="490"/>
      <c r="DQ21" s="17"/>
      <c r="DX21" s="17"/>
      <c r="DY21" s="17"/>
      <c r="DZ21" s="17"/>
      <c r="EA21" s="17"/>
      <c r="EB21" s="17"/>
      <c r="EU21" s="375"/>
      <c r="FK21" s="375"/>
      <c r="FM21" s="294">
        <f t="shared" si="79"/>
        <v>16</v>
      </c>
      <c r="FN21" s="20" t="s">
        <v>227</v>
      </c>
      <c r="FO21" s="451"/>
      <c r="FP21" s="491"/>
      <c r="FQ21" s="491"/>
      <c r="FR21" s="491"/>
      <c r="FS21" s="492"/>
      <c r="FT21" s="491"/>
      <c r="FU21" s="491"/>
      <c r="FV21" s="491"/>
      <c r="FW21" s="491"/>
      <c r="FX21" s="491"/>
      <c r="FY21" s="21"/>
      <c r="FZ21" s="375"/>
      <c r="HC21" s="294">
        <v>16</v>
      </c>
      <c r="HD21" s="278">
        <v>16</v>
      </c>
      <c r="HE21" s="278">
        <v>11</v>
      </c>
      <c r="HF21" s="278">
        <v>10</v>
      </c>
      <c r="HG21" s="305">
        <v>178945785</v>
      </c>
      <c r="HH21" s="305">
        <v>163479498</v>
      </c>
      <c r="HI21" s="299">
        <f t="shared" si="2"/>
        <v>0.90909090909090906</v>
      </c>
      <c r="HJ21" s="299">
        <f t="shared" si="3"/>
        <v>0.91356998433911141</v>
      </c>
      <c r="HK21" s="301">
        <v>0</v>
      </c>
      <c r="HL21" s="301">
        <v>0</v>
      </c>
      <c r="HM21" s="301">
        <v>1</v>
      </c>
      <c r="HQ21" s="324">
        <v>16</v>
      </c>
      <c r="HR21" s="325">
        <v>16</v>
      </c>
      <c r="HS21" s="326">
        <f t="shared" si="4"/>
        <v>0.91356998433911141</v>
      </c>
      <c r="HT21" s="303">
        <v>8176.04</v>
      </c>
      <c r="HU21" s="300">
        <f t="shared" si="24"/>
        <v>7469.3847347559486</v>
      </c>
      <c r="HV21" s="303">
        <v>19799913</v>
      </c>
      <c r="HW21" s="300">
        <v>18083191</v>
      </c>
      <c r="HX21" s="303">
        <v>10090671.818500001</v>
      </c>
      <c r="HY21" s="300">
        <v>8596948</v>
      </c>
      <c r="HZ21" s="303">
        <v>247500</v>
      </c>
      <c r="IA21" s="303">
        <v>225000</v>
      </c>
      <c r="IB21" s="303">
        <f t="shared" si="25"/>
        <v>10346347.8585</v>
      </c>
      <c r="IC21" s="303">
        <f t="shared" si="25"/>
        <v>8829417.3847347554</v>
      </c>
      <c r="ID21" s="269"/>
      <c r="IE21" s="270"/>
      <c r="IF21" s="269"/>
      <c r="IG21" s="327">
        <v>16</v>
      </c>
      <c r="IH21" s="325">
        <v>16</v>
      </c>
      <c r="II21" s="328">
        <f t="shared" si="5"/>
        <v>0.90909090909090906</v>
      </c>
      <c r="IJ21" s="329">
        <f t="shared" si="5"/>
        <v>0.91356998433911141</v>
      </c>
      <c r="IK21" s="303">
        <v>3199061.0579469418</v>
      </c>
      <c r="IL21" s="300">
        <f t="shared" si="65"/>
        <v>2922566.160608449</v>
      </c>
      <c r="IM21" s="303">
        <v>359951.65618055104</v>
      </c>
      <c r="IN21" s="300">
        <f t="shared" si="26"/>
        <v>328841.02889970323</v>
      </c>
      <c r="IO21" s="303">
        <v>1344814.3861530581</v>
      </c>
      <c r="IP21" s="300">
        <f t="shared" si="27"/>
        <v>1222558.5328664165</v>
      </c>
      <c r="IQ21" s="303">
        <v>2067133.7</v>
      </c>
      <c r="IR21" s="300">
        <v>1563409.5</v>
      </c>
      <c r="IS21" s="303">
        <v>234433.84504457988</v>
      </c>
      <c r="IT21" s="300">
        <f t="shared" si="28"/>
        <v>214171.72414593451</v>
      </c>
      <c r="IU21" s="303">
        <v>105150.33208333336</v>
      </c>
      <c r="IV21" s="300">
        <f t="shared" si="29"/>
        <v>96062.187234623212</v>
      </c>
      <c r="IW21" s="303">
        <v>862841.99</v>
      </c>
      <c r="IX21" s="300">
        <f t="shared" si="30"/>
        <v>788266.54329142766</v>
      </c>
      <c r="IY21" s="303">
        <v>792849.73950185732</v>
      </c>
      <c r="IZ21" s="300">
        <f t="shared" si="31"/>
        <v>724323.72409998032</v>
      </c>
      <c r="JA21" s="303">
        <f t="shared" si="32"/>
        <v>8966236.7069103234</v>
      </c>
      <c r="JB21" s="303">
        <f t="shared" si="32"/>
        <v>7860199.4011465348</v>
      </c>
      <c r="JC21" s="330">
        <f t="shared" si="6"/>
        <v>4.808064312227418</v>
      </c>
      <c r="JG21" s="294">
        <v>16</v>
      </c>
      <c r="JH21" s="278">
        <v>16</v>
      </c>
      <c r="JI21" s="17">
        <f t="shared" si="7"/>
        <v>10</v>
      </c>
      <c r="JJ21" s="23">
        <f>JI21</f>
        <v>10</v>
      </c>
      <c r="JK21" s="331">
        <f t="shared" si="8"/>
        <v>163479498</v>
      </c>
      <c r="JL21" s="331">
        <f t="shared" si="9"/>
        <v>162667082.02426419</v>
      </c>
      <c r="JM21" s="332">
        <f t="shared" si="34"/>
        <v>1</v>
      </c>
      <c r="JN21" s="332">
        <f t="shared" si="35"/>
        <v>0.99503047179814674</v>
      </c>
      <c r="JO21" s="332">
        <f t="shared" si="36"/>
        <v>1.0268873680532515</v>
      </c>
      <c r="JP21" s="278" t="s">
        <v>241</v>
      </c>
      <c r="JQ21" s="278"/>
      <c r="JR21" s="279"/>
      <c r="JS21" s="278"/>
      <c r="JT21" s="294">
        <v>16</v>
      </c>
      <c r="JU21" s="278">
        <v>16</v>
      </c>
      <c r="JV21" s="405" t="str">
        <f t="shared" si="10"/>
        <v>Q3</v>
      </c>
      <c r="JW21" s="334">
        <f t="shared" si="11"/>
        <v>1.0268873680532515</v>
      </c>
      <c r="JX21" s="319">
        <f t="shared" si="37"/>
        <v>7469.3847347559486</v>
      </c>
      <c r="JY21" s="319">
        <f t="shared" si="38"/>
        <v>7670.2168312506701</v>
      </c>
      <c r="JZ21" s="319">
        <f t="shared" si="12"/>
        <v>18083191</v>
      </c>
      <c r="KA21" s="319">
        <f t="shared" si="39"/>
        <v>17925069.607822109</v>
      </c>
      <c r="KB21" s="319">
        <f t="shared" si="13"/>
        <v>8596948</v>
      </c>
      <c r="KC21" s="319">
        <f t="shared" si="14"/>
        <v>9182434.8577454705</v>
      </c>
      <c r="KD21" s="319">
        <f t="shared" si="40"/>
        <v>225000</v>
      </c>
      <c r="KE21" s="319">
        <f t="shared" si="41"/>
        <v>344756.21321073739</v>
      </c>
      <c r="KF21" s="319">
        <f t="shared" si="42"/>
        <v>8829417.3847347554</v>
      </c>
      <c r="KG21" s="319">
        <f t="shared" si="42"/>
        <v>9534861.2877874579</v>
      </c>
      <c r="KH21" s="282"/>
      <c r="KI21" s="279"/>
      <c r="KJ21" s="278"/>
      <c r="KK21" s="335">
        <f t="shared" si="66"/>
        <v>16</v>
      </c>
      <c r="KL21" s="336">
        <v>15</v>
      </c>
      <c r="KM21" s="337">
        <f t="shared" si="67"/>
        <v>1</v>
      </c>
      <c r="KN21" s="337">
        <f t="shared" si="67"/>
        <v>0.99503047179814674</v>
      </c>
      <c r="KO21" s="275">
        <v>1.69933333</v>
      </c>
      <c r="KP21" s="245">
        <f t="shared" si="68"/>
        <v>2324579.7749960809</v>
      </c>
      <c r="KQ21" s="275">
        <v>1.69933333</v>
      </c>
      <c r="KR21" s="245">
        <f t="shared" si="43"/>
        <v>121368.75554820758</v>
      </c>
      <c r="KS21" s="275">
        <v>1.69933333</v>
      </c>
      <c r="KT21" s="245">
        <f t="shared" si="44"/>
        <v>1265604.1899815286</v>
      </c>
      <c r="KU21" s="275">
        <v>1.7150382799999999</v>
      </c>
      <c r="KV21" s="245">
        <f t="shared" si="69"/>
        <v>1514171.888655761</v>
      </c>
      <c r="KW21" s="275">
        <v>1.69933333</v>
      </c>
      <c r="KX21" s="245">
        <f t="shared" si="45"/>
        <v>179686.08314031511</v>
      </c>
      <c r="KY21" s="275">
        <v>1.69933333</v>
      </c>
      <c r="KZ21" s="245">
        <f t="shared" si="46"/>
        <v>46370.017778814392</v>
      </c>
      <c r="LA21" s="275">
        <v>1.69933333</v>
      </c>
      <c r="LB21" s="245">
        <f t="shared" si="47"/>
        <v>284368.63986316533</v>
      </c>
      <c r="LC21" s="275">
        <v>1.69933333</v>
      </c>
      <c r="LD21" s="338">
        <f t="shared" si="48"/>
        <v>829916.41903518862</v>
      </c>
      <c r="LE21" s="339">
        <f t="shared" si="49"/>
        <v>6393865.699295437</v>
      </c>
      <c r="LF21" s="339">
        <f t="shared" si="70"/>
        <v>6566065.7689990625</v>
      </c>
      <c r="LG21" s="21"/>
      <c r="LH21" s="291"/>
      <c r="LJ21" s="294">
        <v>16</v>
      </c>
      <c r="LK21" s="340">
        <v>16</v>
      </c>
      <c r="LL21" s="303">
        <f t="shared" si="15"/>
        <v>10346347.8585</v>
      </c>
      <c r="LM21" s="303">
        <f t="shared" si="15"/>
        <v>8829417.3847347554</v>
      </c>
      <c r="LN21" s="300">
        <f t="shared" si="16"/>
        <v>9534861.2877874579</v>
      </c>
      <c r="LO21" s="303">
        <f t="shared" si="17"/>
        <v>8966236.7069103234</v>
      </c>
      <c r="LP21" s="303">
        <f t="shared" si="17"/>
        <v>7860199.4011465348</v>
      </c>
      <c r="LQ21" s="300">
        <f t="shared" si="50"/>
        <v>8071539.4754171083</v>
      </c>
      <c r="LR21" s="303">
        <f t="shared" si="51"/>
        <v>1380111.1515896767</v>
      </c>
      <c r="LS21" s="303">
        <f t="shared" si="51"/>
        <v>969217.98358822055</v>
      </c>
      <c r="LT21" s="303">
        <f t="shared" si="51"/>
        <v>1463321.8123703497</v>
      </c>
      <c r="MD21" s="237">
        <f t="shared" si="80"/>
        <v>15</v>
      </c>
      <c r="ME21" s="239" t="s">
        <v>60</v>
      </c>
      <c r="MF21" s="478">
        <f>N21</f>
        <v>117308393.00194727</v>
      </c>
      <c r="MG21" s="493">
        <f t="shared" si="101"/>
        <v>5.246984412150967</v>
      </c>
      <c r="MH21" s="494">
        <f>SUM(MH14:MH20)</f>
        <v>117308393.00194727</v>
      </c>
      <c r="MI21" s="493">
        <f t="shared" si="102"/>
        <v>5.246984412150967</v>
      </c>
      <c r="MM21" s="237">
        <f t="shared" si="81"/>
        <v>15</v>
      </c>
      <c r="MN21" s="239" t="str">
        <f>ME21</f>
        <v>Total Operating Expenses</v>
      </c>
      <c r="MO21" s="495">
        <v>109914198.36987257</v>
      </c>
      <c r="MP21" s="496">
        <f>MF21</f>
        <v>117308393.00194727</v>
      </c>
      <c r="MQ21" s="496">
        <f t="shared" si="72"/>
        <v>7394194.6320746988</v>
      </c>
      <c r="MR21" s="497">
        <f t="shared" si="73"/>
        <v>6.7272424688869348E-2</v>
      </c>
    </row>
    <row r="22" spans="1:359" s="35" customFormat="1" x14ac:dyDescent="0.3">
      <c r="A22" s="12"/>
      <c r="B22" s="220">
        <f t="shared" si="74"/>
        <v>17</v>
      </c>
      <c r="C22" s="239" t="s">
        <v>223</v>
      </c>
      <c r="D22" s="239"/>
      <c r="E22" s="252"/>
      <c r="F22" s="494">
        <f>F12-F21</f>
        <v>14101397.670300007</v>
      </c>
      <c r="G22" s="498">
        <f t="shared" si="95"/>
        <v>0.67113469011717242</v>
      </c>
      <c r="H22" s="494">
        <f>H12-H21</f>
        <v>13340938.28151913</v>
      </c>
      <c r="I22" s="499">
        <f t="shared" si="96"/>
        <v>0.63217586737612463</v>
      </c>
      <c r="J22" s="479">
        <f t="shared" si="54"/>
        <v>-760459.38878087699</v>
      </c>
      <c r="K22" s="494">
        <f>K12-K21</f>
        <v>8989123.3296594918</v>
      </c>
      <c r="L22" s="499">
        <f t="shared" si="97"/>
        <v>0.40006854637699091</v>
      </c>
      <c r="M22" s="479">
        <f t="shared" si="55"/>
        <v>-4351814.9518596381</v>
      </c>
      <c r="N22" s="494">
        <f>N12-N21</f>
        <v>14337765.886812642</v>
      </c>
      <c r="O22" s="499">
        <f t="shared" si="98"/>
        <v>0.64130137825626032</v>
      </c>
      <c r="P22" s="479">
        <f t="shared" si="56"/>
        <v>5348642.5571531504</v>
      </c>
      <c r="Q22" s="494">
        <f t="shared" si="57"/>
        <v>236368.21651263535</v>
      </c>
      <c r="R22" s="500">
        <f t="shared" si="58"/>
        <v>-4.4452048598029648E-2</v>
      </c>
      <c r="S22" s="17"/>
      <c r="T22" s="18"/>
      <c r="U22" s="17"/>
      <c r="V22" s="501">
        <v>11</v>
      </c>
      <c r="W22" s="502" t="s">
        <v>228</v>
      </c>
      <c r="X22" s="303">
        <f>X18-X7</f>
        <v>-874624.80347661243</v>
      </c>
      <c r="Y22" s="303">
        <f>Y18-Y7</f>
        <v>-224602.81363088964</v>
      </c>
      <c r="Z22" s="303">
        <f>Z18-Z7</f>
        <v>1335595.3550430872</v>
      </c>
      <c r="AA22" s="303">
        <f>AA18-AA7</f>
        <v>236367.73793558404</v>
      </c>
      <c r="AB22" s="303"/>
      <c r="AC22" s="17"/>
      <c r="AD22" s="18"/>
      <c r="AE22" s="17"/>
      <c r="AF22" s="17"/>
      <c r="AG22" s="17"/>
      <c r="AH22" s="17"/>
      <c r="AI22" s="17"/>
      <c r="AJ22" s="17"/>
      <c r="AK22" s="17"/>
      <c r="AL22" s="437"/>
      <c r="AM22" s="17"/>
      <c r="AN22" s="294">
        <v>18</v>
      </c>
      <c r="AO22" s="2"/>
      <c r="AP22" s="474" t="s">
        <v>229</v>
      </c>
      <c r="AQ22" s="6"/>
      <c r="AR22" s="313"/>
      <c r="AS22" s="503"/>
      <c r="AT22" s="307">
        <v>1025480397</v>
      </c>
      <c r="AU22" s="309"/>
      <c r="AV22" s="503"/>
      <c r="AW22" s="307">
        <v>1079178438.6666701</v>
      </c>
      <c r="AX22" s="309"/>
      <c r="AY22" s="308"/>
      <c r="AZ22" s="503"/>
      <c r="BA22" s="307">
        <v>1290136807.9999998</v>
      </c>
      <c r="BB22" s="309"/>
      <c r="BC22" s="308"/>
      <c r="BD22" s="503"/>
      <c r="BE22" s="307">
        <v>1470610844</v>
      </c>
      <c r="BF22" s="309"/>
      <c r="BG22" s="308"/>
      <c r="BH22" s="503"/>
      <c r="BI22" s="307">
        <v>1519641411.6666667</v>
      </c>
      <c r="BJ22" s="309"/>
      <c r="BK22" s="308"/>
      <c r="BL22" s="503"/>
      <c r="BM22" s="307">
        <v>1682130877</v>
      </c>
      <c r="BN22" s="309"/>
      <c r="BO22" s="308"/>
      <c r="BP22" s="503"/>
      <c r="BQ22" s="307">
        <v>1854790824</v>
      </c>
      <c r="BR22" s="309"/>
      <c r="BS22" s="308"/>
      <c r="BT22" s="504">
        <v>1962055288</v>
      </c>
      <c r="BU22" s="504"/>
      <c r="BV22" s="504"/>
      <c r="BW22" s="505"/>
      <c r="BX22" s="17"/>
      <c r="BY22" s="17"/>
      <c r="BZ22" s="506"/>
      <c r="CA22" s="313"/>
      <c r="CB22" s="17"/>
      <c r="CC22" s="507">
        <v>2078388796</v>
      </c>
      <c r="CD22" s="312"/>
      <c r="CE22" s="313"/>
      <c r="CF22" s="507">
        <v>2080574152</v>
      </c>
      <c r="CG22" s="312"/>
      <c r="CH22" s="313"/>
      <c r="CI22" s="507">
        <f>F24</f>
        <v>2101127818</v>
      </c>
      <c r="CJ22" s="313"/>
      <c r="CK22" s="313"/>
      <c r="CL22" s="506">
        <f>CI22/AT22-1</f>
        <v>1.048920509984161</v>
      </c>
      <c r="CM22" s="313">
        <f>(CL22+1)^(1/(2023-2004))-1</f>
        <v>3.8475029929317062E-2</v>
      </c>
      <c r="CN22" s="17"/>
      <c r="CO22" s="18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8"/>
      <c r="DC22" s="17"/>
      <c r="DD22" s="17"/>
      <c r="DE22" s="17"/>
      <c r="DF22" s="305"/>
      <c r="DG22" s="21"/>
      <c r="DH22" s="305"/>
      <c r="DI22" s="21"/>
      <c r="DJ22" s="21"/>
      <c r="DK22" s="17"/>
      <c r="DL22" s="18"/>
      <c r="DM22" s="17"/>
      <c r="DN22" s="17"/>
      <c r="DO22" s="17"/>
      <c r="DP22" s="17"/>
      <c r="DQ22" s="21"/>
      <c r="DR22" s="17"/>
      <c r="DS22" s="17"/>
      <c r="DT22" s="17"/>
      <c r="DU22" s="18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8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25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25"/>
      <c r="FL22" s="17"/>
      <c r="FM22" s="237">
        <f>FM21+1</f>
        <v>17</v>
      </c>
      <c r="FN22" s="459"/>
      <c r="FO22" s="508" t="s">
        <v>230</v>
      </c>
      <c r="FP22" s="509">
        <v>3063.8159999999998</v>
      </c>
      <c r="FQ22" s="509">
        <v>15847</v>
      </c>
      <c r="FR22" s="509">
        <v>17866</v>
      </c>
      <c r="FS22" s="510">
        <f>FP22+FR22+FQ22</f>
        <v>36776.815999999999</v>
      </c>
      <c r="FT22" s="509">
        <v>0</v>
      </c>
      <c r="FU22" s="509">
        <v>0</v>
      </c>
      <c r="FV22" s="509">
        <v>0</v>
      </c>
      <c r="FW22" s="509">
        <v>0</v>
      </c>
      <c r="FX22" s="509">
        <v>0</v>
      </c>
      <c r="FY22" s="21"/>
      <c r="FZ22" s="375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8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8"/>
      <c r="HA22" s="17"/>
      <c r="HB22" s="17"/>
      <c r="HC22" s="237">
        <v>17</v>
      </c>
      <c r="HD22" s="261">
        <v>17</v>
      </c>
      <c r="HE22" s="261">
        <v>10</v>
      </c>
      <c r="HF22" s="261">
        <v>11</v>
      </c>
      <c r="HG22" s="262">
        <v>184207782</v>
      </c>
      <c r="HH22" s="262">
        <v>203326997</v>
      </c>
      <c r="HI22" s="264">
        <f t="shared" si="2"/>
        <v>1.1000000000000001</v>
      </c>
      <c r="HJ22" s="264">
        <f t="shared" si="3"/>
        <v>1.1037915705428776</v>
      </c>
      <c r="HK22" s="265">
        <v>0</v>
      </c>
      <c r="HL22" s="265">
        <v>0</v>
      </c>
      <c r="HM22" s="265">
        <v>1</v>
      </c>
      <c r="HN22" s="17"/>
      <c r="HO22" s="18"/>
      <c r="HP22" s="17"/>
      <c r="HQ22" s="377">
        <v>17</v>
      </c>
      <c r="HR22" s="272">
        <v>17</v>
      </c>
      <c r="HS22" s="268">
        <f t="shared" si="4"/>
        <v>1.1037915705428776</v>
      </c>
      <c r="HT22" s="244">
        <v>1563</v>
      </c>
      <c r="HU22" s="245">
        <f t="shared" si="24"/>
        <v>1725.2262247585177</v>
      </c>
      <c r="HV22" s="244">
        <v>20370675</v>
      </c>
      <c r="HW22" s="245">
        <v>22508140</v>
      </c>
      <c r="HX22" s="244">
        <v>9964845.7438999992</v>
      </c>
      <c r="HY22" s="245">
        <v>10719729</v>
      </c>
      <c r="HZ22" s="244">
        <v>225000</v>
      </c>
      <c r="IA22" s="244">
        <v>247500</v>
      </c>
      <c r="IB22" s="244">
        <f t="shared" si="25"/>
        <v>10191408.743899999</v>
      </c>
      <c r="IC22" s="244">
        <f t="shared" si="25"/>
        <v>10968954.226224758</v>
      </c>
      <c r="ID22" s="269"/>
      <c r="IE22" s="270"/>
      <c r="IF22" s="269"/>
      <c r="IG22" s="271">
        <v>17</v>
      </c>
      <c r="IH22" s="272">
        <v>17</v>
      </c>
      <c r="II22" s="273">
        <f t="shared" si="5"/>
        <v>1.1000000000000001</v>
      </c>
      <c r="IJ22" s="274">
        <f t="shared" si="5"/>
        <v>1.1037915705428776</v>
      </c>
      <c r="IK22" s="244">
        <v>3637500.1407260867</v>
      </c>
      <c r="IL22" s="245">
        <f t="shared" si="65"/>
        <v>4015041.9931819853</v>
      </c>
      <c r="IM22" s="244">
        <v>99166.856098193064</v>
      </c>
      <c r="IN22" s="245">
        <f t="shared" si="26"/>
        <v>109459.53983842405</v>
      </c>
      <c r="IO22" s="244">
        <v>1325744.9382739137</v>
      </c>
      <c r="IP22" s="245">
        <f t="shared" si="27"/>
        <v>1458319.4321013051</v>
      </c>
      <c r="IQ22" s="244">
        <v>2379136.65</v>
      </c>
      <c r="IR22" s="245">
        <v>2836236.65</v>
      </c>
      <c r="IS22" s="244">
        <v>69631.111933943932</v>
      </c>
      <c r="IT22" s="245">
        <f t="shared" si="28"/>
        <v>76858.234400214875</v>
      </c>
      <c r="IU22" s="244">
        <v>78739.909999999974</v>
      </c>
      <c r="IV22" s="245">
        <f t="shared" si="29"/>
        <v>86912.448923304808</v>
      </c>
      <c r="IW22" s="244">
        <v>615372.95500000007</v>
      </c>
      <c r="IX22" s="245">
        <f t="shared" si="30"/>
        <v>679243.48046906164</v>
      </c>
      <c r="IY22" s="244">
        <v>1346627.1323117958</v>
      </c>
      <c r="IZ22" s="245">
        <f t="shared" si="31"/>
        <v>1486395.6773100884</v>
      </c>
      <c r="JA22" s="244">
        <f t="shared" si="32"/>
        <v>9551919.6943439338</v>
      </c>
      <c r="JB22" s="244">
        <f t="shared" si="32"/>
        <v>10748467.456224384</v>
      </c>
      <c r="JC22" s="275">
        <f t="shared" si="6"/>
        <v>5.2862962689722819</v>
      </c>
      <c r="JD22" s="17"/>
      <c r="JE22" s="18"/>
      <c r="JF22" s="17"/>
      <c r="JG22" s="237">
        <v>17</v>
      </c>
      <c r="JH22" s="261">
        <v>17</v>
      </c>
      <c r="JI22" s="35">
        <f t="shared" si="7"/>
        <v>11</v>
      </c>
      <c r="JJ22" s="353">
        <f t="shared" ref="JJ22:JJ25" si="106">JI22</f>
        <v>11</v>
      </c>
      <c r="JK22" s="243">
        <f t="shared" si="8"/>
        <v>203326997</v>
      </c>
      <c r="JL22" s="243">
        <f t="shared" si="9"/>
        <v>202316557.75421035</v>
      </c>
      <c r="JM22" s="277">
        <f t="shared" si="34"/>
        <v>1</v>
      </c>
      <c r="JN22" s="277">
        <f t="shared" si="35"/>
        <v>0.99503047179814663</v>
      </c>
      <c r="JO22" s="277">
        <f t="shared" si="36"/>
        <v>1.0262079641709789</v>
      </c>
      <c r="JP22" s="261" t="s">
        <v>403</v>
      </c>
      <c r="JQ22" s="278"/>
      <c r="JR22" s="279"/>
      <c r="JS22" s="278"/>
      <c r="JT22" s="237">
        <v>17</v>
      </c>
      <c r="JU22" s="261">
        <v>17</v>
      </c>
      <c r="JV22" s="280" t="str">
        <f t="shared" si="10"/>
        <v>Q4</v>
      </c>
      <c r="JW22" s="281">
        <f t="shared" si="11"/>
        <v>1.0262079641709789</v>
      </c>
      <c r="JX22" s="244">
        <f t="shared" si="37"/>
        <v>1725.2262247585177</v>
      </c>
      <c r="JY22" s="244">
        <f t="shared" si="38"/>
        <v>1770.4408918438221</v>
      </c>
      <c r="JZ22" s="244">
        <f t="shared" si="12"/>
        <v>22508140</v>
      </c>
      <c r="KA22" s="244">
        <f t="shared" si="39"/>
        <v>22294236.396385543</v>
      </c>
      <c r="KB22" s="244">
        <f t="shared" si="13"/>
        <v>10719729</v>
      </c>
      <c r="KC22" s="244">
        <f t="shared" si="14"/>
        <v>11420618.044554485</v>
      </c>
      <c r="KD22" s="244">
        <f t="shared" si="40"/>
        <v>247500</v>
      </c>
      <c r="KE22" s="244">
        <f t="shared" si="41"/>
        <v>428789.21446914994</v>
      </c>
      <c r="KF22" s="244">
        <f t="shared" si="42"/>
        <v>10968954.226224758</v>
      </c>
      <c r="KG22" s="244">
        <f t="shared" si="42"/>
        <v>11851177.699915478</v>
      </c>
      <c r="KH22" s="282"/>
      <c r="KI22" s="279"/>
      <c r="KJ22" s="278"/>
      <c r="KK22" s="324">
        <f t="shared" si="66"/>
        <v>17</v>
      </c>
      <c r="KL22" s="325">
        <v>16</v>
      </c>
      <c r="KM22" s="378">
        <f t="shared" si="67"/>
        <v>1</v>
      </c>
      <c r="KN22" s="378">
        <f t="shared" si="67"/>
        <v>0.99503047179814674</v>
      </c>
      <c r="KO22" s="330">
        <v>1.69933333</v>
      </c>
      <c r="KP22" s="300">
        <f t="shared" si="68"/>
        <v>3001327.2117834613</v>
      </c>
      <c r="KQ22" s="330">
        <v>1.69933333</v>
      </c>
      <c r="KR22" s="300">
        <f t="shared" si="43"/>
        <v>337703.05756981595</v>
      </c>
      <c r="KS22" s="330">
        <v>1.69933333</v>
      </c>
      <c r="KT22" s="300">
        <f t="shared" si="44"/>
        <v>1261776.0355882726</v>
      </c>
      <c r="KU22" s="330">
        <v>1.7150382799999999</v>
      </c>
      <c r="KV22" s="300">
        <f t="shared" si="69"/>
        <v>1598785.1941443197</v>
      </c>
      <c r="KW22" s="330">
        <v>1.69933333</v>
      </c>
      <c r="KX22" s="300">
        <f t="shared" si="45"/>
        <v>219943.4977170713</v>
      </c>
      <c r="KY22" s="330">
        <v>1.69933333</v>
      </c>
      <c r="KZ22" s="300">
        <f t="shared" si="46"/>
        <v>98650.993930172801</v>
      </c>
      <c r="LA22" s="330">
        <v>1.69933333</v>
      </c>
      <c r="LB22" s="300">
        <f t="shared" si="47"/>
        <v>809509.75837840489</v>
      </c>
      <c r="LC22" s="330">
        <v>1.69933333</v>
      </c>
      <c r="LD22" s="300">
        <f t="shared" si="48"/>
        <v>743843.72630558896</v>
      </c>
      <c r="LE22" s="303">
        <f t="shared" si="49"/>
        <v>7860199.4011465348</v>
      </c>
      <c r="LF22" s="303">
        <f t="shared" si="70"/>
        <v>8071539.4754171083</v>
      </c>
      <c r="LG22" s="21"/>
      <c r="LH22" s="291"/>
      <c r="LI22" s="17"/>
      <c r="LJ22" s="237">
        <v>17</v>
      </c>
      <c r="LK22" s="292">
        <v>17</v>
      </c>
      <c r="LL22" s="244">
        <f t="shared" si="15"/>
        <v>10191408.743899999</v>
      </c>
      <c r="LM22" s="244">
        <f t="shared" si="15"/>
        <v>10968954.226224758</v>
      </c>
      <c r="LN22" s="245">
        <f t="shared" si="16"/>
        <v>11851177.699915478</v>
      </c>
      <c r="LO22" s="244">
        <f t="shared" si="17"/>
        <v>9551919.6943439338</v>
      </c>
      <c r="LP22" s="244">
        <f t="shared" si="17"/>
        <v>10748467.456224384</v>
      </c>
      <c r="LQ22" s="245">
        <f t="shared" si="50"/>
        <v>11030162.906210046</v>
      </c>
      <c r="LR22" s="244">
        <f t="shared" si="51"/>
        <v>639489.04955606535</v>
      </c>
      <c r="LS22" s="244">
        <f t="shared" si="51"/>
        <v>220486.77000037394</v>
      </c>
      <c r="LT22" s="244">
        <f t="shared" si="51"/>
        <v>821014.79370543174</v>
      </c>
      <c r="LU22" s="17"/>
      <c r="LV22" s="18"/>
      <c r="LW22" s="17"/>
      <c r="LX22" s="17"/>
      <c r="LY22" s="17"/>
      <c r="LZ22" s="17"/>
      <c r="MA22" s="17"/>
      <c r="MB22" s="18"/>
      <c r="MC22" s="17"/>
      <c r="MD22" s="294">
        <f t="shared" si="80"/>
        <v>16</v>
      </c>
      <c r="ME22" s="23"/>
      <c r="MF22" s="303"/>
      <c r="MG22" s="381"/>
      <c r="MH22" s="297"/>
      <c r="MI22" s="381"/>
      <c r="MJ22" s="17"/>
      <c r="MK22" s="18"/>
      <c r="ML22" s="17"/>
      <c r="MM22" s="294">
        <f t="shared" si="81"/>
        <v>16</v>
      </c>
      <c r="MN22" s="23"/>
      <c r="MO22" s="303"/>
      <c r="MP22" s="303"/>
      <c r="MQ22" s="303"/>
      <c r="MR22" s="313"/>
      <c r="MS22" s="17"/>
      <c r="MT22" s="18"/>
      <c r="MU22" s="17"/>
    </row>
    <row r="23" spans="1:359" ht="17.25" thickBot="1" x14ac:dyDescent="0.35">
      <c r="A23" s="6"/>
      <c r="B23" s="511" t="s">
        <v>231</v>
      </c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V23" s="513">
        <v>12</v>
      </c>
      <c r="W23" s="514" t="s">
        <v>232</v>
      </c>
      <c r="X23" s="515">
        <f>X19/X8-1</f>
        <v>1.7418071935974617</v>
      </c>
      <c r="Y23" s="515">
        <f>Y19/Y8-1</f>
        <v>-0.11687153026762032</v>
      </c>
      <c r="Z23" s="515">
        <f>Z19/Z8-1</f>
        <v>5.5666434776271423E-2</v>
      </c>
      <c r="AA23" s="515">
        <f>AA19/AA8-1</f>
        <v>-4.4452081027673507E-2</v>
      </c>
      <c r="AB23" s="301"/>
      <c r="AL23" s="437"/>
      <c r="AN23" s="440">
        <v>19</v>
      </c>
      <c r="AO23" s="516"/>
      <c r="AP23" s="517" t="s">
        <v>233</v>
      </c>
      <c r="AQ23" s="518"/>
      <c r="AR23" s="519"/>
      <c r="AS23" s="520"/>
      <c r="AT23" s="521">
        <v>158</v>
      </c>
      <c r="AU23" s="522"/>
      <c r="AV23" s="520"/>
      <c r="AW23" s="521">
        <v>165</v>
      </c>
      <c r="AX23" s="522"/>
      <c r="AY23" s="523"/>
      <c r="AZ23" s="520"/>
      <c r="BA23" s="521">
        <v>184</v>
      </c>
      <c r="BB23" s="522"/>
      <c r="BC23" s="523"/>
      <c r="BD23" s="520"/>
      <c r="BE23" s="521">
        <v>190</v>
      </c>
      <c r="BF23" s="522"/>
      <c r="BG23" s="523"/>
      <c r="BH23" s="520"/>
      <c r="BI23" s="521">
        <v>191</v>
      </c>
      <c r="BJ23" s="522"/>
      <c r="BK23" s="523"/>
      <c r="BL23" s="520"/>
      <c r="BM23" s="521">
        <v>195</v>
      </c>
      <c r="BN23" s="522"/>
      <c r="BO23" s="523"/>
      <c r="BP23" s="520"/>
      <c r="BQ23" s="521">
        <v>189</v>
      </c>
      <c r="BR23" s="522"/>
      <c r="BS23" s="523"/>
      <c r="BT23" s="524">
        <v>179</v>
      </c>
      <c r="BU23" s="524"/>
      <c r="BV23" s="524"/>
      <c r="BW23" s="525"/>
      <c r="BX23" s="526"/>
      <c r="BY23" s="526"/>
      <c r="BZ23" s="527"/>
      <c r="CA23" s="528"/>
      <c r="CB23" s="35"/>
      <c r="CC23" s="529">
        <v>205</v>
      </c>
      <c r="CD23" s="528"/>
      <c r="CE23" s="519"/>
      <c r="CF23" s="529">
        <v>202</v>
      </c>
      <c r="CG23" s="528"/>
      <c r="CH23" s="519"/>
      <c r="CI23" s="529">
        <f>F25</f>
        <v>209</v>
      </c>
      <c r="CJ23" s="519"/>
      <c r="CK23" s="519"/>
      <c r="CL23" s="527">
        <f>CI23/AT23-1</f>
        <v>0.32278481012658222</v>
      </c>
      <c r="CM23" s="519">
        <f>(CL23+1)^(1/(2023-2004))-1</f>
        <v>1.4832035755902417E-2</v>
      </c>
      <c r="DG23" s="17"/>
      <c r="DX23" s="17"/>
      <c r="DY23" s="17"/>
      <c r="DZ23" s="17"/>
      <c r="EA23" s="17"/>
      <c r="EB23" s="17"/>
      <c r="EU23" s="531"/>
      <c r="FK23" s="531"/>
      <c r="FM23" s="294">
        <f t="shared" si="79"/>
        <v>18</v>
      </c>
      <c r="FN23" s="321"/>
      <c r="FO23" s="322" t="s">
        <v>234</v>
      </c>
      <c r="FP23" s="303">
        <v>166766.054</v>
      </c>
      <c r="FQ23" s="303">
        <v>383995.19209999999</v>
      </c>
      <c r="FR23" s="303">
        <v>611171.57960000006</v>
      </c>
      <c r="FS23" s="300">
        <f>FP23+FR23+FQ23</f>
        <v>1161932.8256999999</v>
      </c>
      <c r="FT23" s="303">
        <v>175901.33659999998</v>
      </c>
      <c r="FU23" s="303">
        <v>383995.19209999999</v>
      </c>
      <c r="FV23" s="303">
        <v>613403.0634000001</v>
      </c>
      <c r="FW23" s="303">
        <v>1173299.5921</v>
      </c>
      <c r="FX23" s="303">
        <v>1173299.5921</v>
      </c>
      <c r="FY23" s="21"/>
      <c r="FZ23" s="375"/>
      <c r="HC23" s="294">
        <v>18</v>
      </c>
      <c r="HD23" s="278">
        <v>18</v>
      </c>
      <c r="HE23" s="278">
        <v>11</v>
      </c>
      <c r="HF23" s="278">
        <v>11</v>
      </c>
      <c r="HG23" s="305">
        <v>243885005</v>
      </c>
      <c r="HH23" s="305">
        <v>242270694</v>
      </c>
      <c r="HI23" s="299">
        <f t="shared" si="2"/>
        <v>1</v>
      </c>
      <c r="HJ23" s="299">
        <f t="shared" si="3"/>
        <v>0.99338085176659385</v>
      </c>
      <c r="HK23" s="301">
        <v>0</v>
      </c>
      <c r="HL23" s="301">
        <v>9.0909090909090912E-2</v>
      </c>
      <c r="HM23" s="301">
        <v>0.90909090909090906</v>
      </c>
      <c r="HQ23" s="324">
        <v>18</v>
      </c>
      <c r="HR23" s="325">
        <v>18</v>
      </c>
      <c r="HS23" s="326">
        <f t="shared" si="4"/>
        <v>0.99338085176659385</v>
      </c>
      <c r="HT23" s="303">
        <v>1230</v>
      </c>
      <c r="HU23" s="300">
        <f t="shared" si="24"/>
        <v>1221.8584476729104</v>
      </c>
      <c r="HV23" s="303">
        <v>28517295.333333332</v>
      </c>
      <c r="HW23" s="300">
        <v>26806063</v>
      </c>
      <c r="HX23" s="303">
        <v>14765898.358866666</v>
      </c>
      <c r="HY23" s="300">
        <v>12730663</v>
      </c>
      <c r="HZ23" s="303">
        <v>247500</v>
      </c>
      <c r="IA23" s="303">
        <v>247500</v>
      </c>
      <c r="IB23" s="303">
        <f t="shared" si="25"/>
        <v>15014628.358866666</v>
      </c>
      <c r="IC23" s="303">
        <f t="shared" si="25"/>
        <v>12979384.858447673</v>
      </c>
      <c r="ID23" s="269"/>
      <c r="IE23" s="270"/>
      <c r="IF23" s="269"/>
      <c r="IG23" s="327">
        <v>18</v>
      </c>
      <c r="IH23" s="325">
        <v>18</v>
      </c>
      <c r="II23" s="328">
        <f t="shared" si="5"/>
        <v>1</v>
      </c>
      <c r="IJ23" s="329">
        <f t="shared" si="5"/>
        <v>0.99338085176659385</v>
      </c>
      <c r="IK23" s="303">
        <v>4989627.5434891274</v>
      </c>
      <c r="IL23" s="300">
        <f t="shared" si="65"/>
        <v>4956600.4591492871</v>
      </c>
      <c r="IM23" s="303">
        <v>177120.25166846882</v>
      </c>
      <c r="IN23" s="300">
        <f t="shared" si="26"/>
        <v>175947.86646753701</v>
      </c>
      <c r="IO23" s="303">
        <v>1614044.4425108728</v>
      </c>
      <c r="IP23" s="300">
        <f t="shared" si="27"/>
        <v>1614044.4425108728</v>
      </c>
      <c r="IQ23" s="303">
        <v>2929342.7</v>
      </c>
      <c r="IR23" s="300">
        <v>2532954.2999999998</v>
      </c>
      <c r="IS23" s="303">
        <v>318521.58875447512</v>
      </c>
      <c r="IT23" s="300">
        <f t="shared" si="28"/>
        <v>316413.24714296922</v>
      </c>
      <c r="IU23" s="303">
        <v>125854.06999999993</v>
      </c>
      <c r="IV23" s="300">
        <f t="shared" si="29"/>
        <v>125021.02325489245</v>
      </c>
      <c r="IW23" s="303">
        <v>1327886.8600000001</v>
      </c>
      <c r="IX23" s="300">
        <f t="shared" si="30"/>
        <v>1319097.3800364679</v>
      </c>
      <c r="IY23" s="303">
        <v>1337784.933995876</v>
      </c>
      <c r="IZ23" s="300">
        <f t="shared" si="31"/>
        <v>1328929.9372133398</v>
      </c>
      <c r="JA23" s="303">
        <f t="shared" si="32"/>
        <v>12820182.39041882</v>
      </c>
      <c r="JB23" s="303">
        <f t="shared" si="32"/>
        <v>12369008.655775366</v>
      </c>
      <c r="JC23" s="330">
        <f t="shared" si="6"/>
        <v>5.1054497973144732</v>
      </c>
      <c r="JG23" s="294">
        <v>18</v>
      </c>
      <c r="JH23" s="278">
        <v>18</v>
      </c>
      <c r="JI23" s="17">
        <f t="shared" si="7"/>
        <v>11</v>
      </c>
      <c r="JJ23" s="23">
        <f t="shared" si="106"/>
        <v>11</v>
      </c>
      <c r="JK23" s="331">
        <f t="shared" si="8"/>
        <v>242270694</v>
      </c>
      <c r="JL23" s="331">
        <f t="shared" si="9"/>
        <v>241066722.95368445</v>
      </c>
      <c r="JM23" s="332">
        <f t="shared" si="34"/>
        <v>1</v>
      </c>
      <c r="JN23" s="332">
        <f t="shared" si="35"/>
        <v>0.99503047179814674</v>
      </c>
      <c r="JO23" s="332">
        <f t="shared" si="36"/>
        <v>1.0267334895453923</v>
      </c>
      <c r="JP23" s="278" t="s">
        <v>241</v>
      </c>
      <c r="JQ23" s="278"/>
      <c r="JR23" s="279"/>
      <c r="JS23" s="278"/>
      <c r="JT23" s="294">
        <v>18</v>
      </c>
      <c r="JU23" s="278">
        <v>18</v>
      </c>
      <c r="JV23" s="405" t="str">
        <f t="shared" si="10"/>
        <v>Q3</v>
      </c>
      <c r="JW23" s="334">
        <f t="shared" si="11"/>
        <v>1.0267334895453923</v>
      </c>
      <c r="JX23" s="319">
        <f t="shared" si="37"/>
        <v>1221.8584476729104</v>
      </c>
      <c r="JY23" s="319">
        <f t="shared" si="38"/>
        <v>1254.5229877097236</v>
      </c>
      <c r="JZ23" s="319">
        <f t="shared" si="12"/>
        <v>26806063</v>
      </c>
      <c r="KA23" s="319">
        <f t="shared" si="39"/>
        <v>26564303.824112371</v>
      </c>
      <c r="KB23" s="319">
        <f t="shared" si="13"/>
        <v>12730663</v>
      </c>
      <c r="KC23" s="319">
        <f t="shared" si="14"/>
        <v>13608035.825971195</v>
      </c>
      <c r="KD23" s="319">
        <f t="shared" si="40"/>
        <v>247500</v>
      </c>
      <c r="KE23" s="319">
        <f t="shared" si="41"/>
        <v>510916.21920307906</v>
      </c>
      <c r="KF23" s="319">
        <f t="shared" si="42"/>
        <v>12979384.858447673</v>
      </c>
      <c r="KG23" s="319">
        <f t="shared" si="42"/>
        <v>14120206.568161985</v>
      </c>
      <c r="KH23" s="282"/>
      <c r="KI23" s="279"/>
      <c r="KJ23" s="278"/>
      <c r="KK23" s="335">
        <f t="shared" si="66"/>
        <v>18</v>
      </c>
      <c r="KL23" s="336">
        <v>17</v>
      </c>
      <c r="KM23" s="337">
        <f t="shared" si="67"/>
        <v>1</v>
      </c>
      <c r="KN23" s="337">
        <f t="shared" si="67"/>
        <v>0.99503047179814663</v>
      </c>
      <c r="KO23" s="275">
        <v>1.7</v>
      </c>
      <c r="KP23" s="245">
        <f t="shared" si="68"/>
        <v>4121627.5137836146</v>
      </c>
      <c r="KQ23" s="275">
        <v>1.7</v>
      </c>
      <c r="KR23" s="245">
        <f t="shared" si="43"/>
        <v>112365.313192303</v>
      </c>
      <c r="KS23" s="275">
        <v>1.7</v>
      </c>
      <c r="KT23" s="245">
        <f t="shared" si="44"/>
        <v>1504509.4868989168</v>
      </c>
      <c r="KU23" s="275">
        <v>1.7150382799999999</v>
      </c>
      <c r="KV23" s="245">
        <f t="shared" si="69"/>
        <v>2900412.952018959</v>
      </c>
      <c r="KW23" s="275">
        <v>1.7</v>
      </c>
      <c r="KX23" s="245">
        <f t="shared" si="45"/>
        <v>78898.555507685203</v>
      </c>
      <c r="KY23" s="275">
        <v>1.7</v>
      </c>
      <c r="KZ23" s="245">
        <f t="shared" si="46"/>
        <v>89219.674758298235</v>
      </c>
      <c r="LA23" s="275">
        <v>1.7</v>
      </c>
      <c r="LB23" s="245">
        <f t="shared" si="47"/>
        <v>697275.05276743288</v>
      </c>
      <c r="LC23" s="275">
        <v>1.7</v>
      </c>
      <c r="LD23" s="338">
        <f t="shared" si="48"/>
        <v>1525854.3572828353</v>
      </c>
      <c r="LE23" s="339">
        <f t="shared" si="49"/>
        <v>10748467.456224384</v>
      </c>
      <c r="LF23" s="339">
        <f t="shared" si="70"/>
        <v>11030162.906210046</v>
      </c>
      <c r="LG23" s="21"/>
      <c r="LH23" s="291"/>
      <c r="LJ23" s="294">
        <v>18</v>
      </c>
      <c r="LK23" s="340">
        <v>18</v>
      </c>
      <c r="LL23" s="303">
        <f t="shared" si="15"/>
        <v>15014628.358866666</v>
      </c>
      <c r="LM23" s="303">
        <f t="shared" si="15"/>
        <v>12979384.858447673</v>
      </c>
      <c r="LN23" s="300">
        <f t="shared" si="16"/>
        <v>14120206.568161985</v>
      </c>
      <c r="LO23" s="303">
        <f t="shared" si="17"/>
        <v>12820182.39041882</v>
      </c>
      <c r="LP23" s="303">
        <f t="shared" si="17"/>
        <v>12369008.655775366</v>
      </c>
      <c r="LQ23" s="300">
        <f t="shared" si="50"/>
        <v>12699675.419361405</v>
      </c>
      <c r="LR23" s="303">
        <f t="shared" si="51"/>
        <v>2194445.9684478454</v>
      </c>
      <c r="LS23" s="303">
        <f t="shared" si="51"/>
        <v>610376.20267230645</v>
      </c>
      <c r="LT23" s="303">
        <f t="shared" si="51"/>
        <v>1420531.1488005798</v>
      </c>
      <c r="MD23" s="237">
        <f>MD22+1</f>
        <v>17</v>
      </c>
      <c r="ME23" s="239" t="s">
        <v>235</v>
      </c>
      <c r="MF23" s="478">
        <f>'Phase I Schedules'!LZ13</f>
        <v>22925355.453062057</v>
      </c>
      <c r="MG23" s="493">
        <f>MF23/$MF$34*100</f>
        <v>1.0254081539011453</v>
      </c>
      <c r="MH23" s="532">
        <f>(MH8+MH21)/(1-'Phase I Schedules'!LZ11)-(MH8+MH21)</f>
        <v>22925355.453062057</v>
      </c>
      <c r="MI23" s="493">
        <f>MH23/$MI$34*100</f>
        <v>1.0254081539011453</v>
      </c>
      <c r="MM23" s="237">
        <f>MM22+1</f>
        <v>17</v>
      </c>
      <c r="MN23" s="239" t="str">
        <f>ME23</f>
        <v>Total Return</v>
      </c>
      <c r="MO23" s="495">
        <v>20055229.941920698</v>
      </c>
      <c r="MP23" s="478">
        <f>MF23</f>
        <v>22925355.453062057</v>
      </c>
      <c r="MQ23" s="478">
        <f t="shared" si="72"/>
        <v>2870125.5111413598</v>
      </c>
      <c r="MR23" s="361">
        <f>MQ23/MO23</f>
        <v>0.1431110747397637</v>
      </c>
    </row>
    <row r="24" spans="1:359" s="35" customFormat="1" x14ac:dyDescent="0.3">
      <c r="A24" s="12"/>
      <c r="B24" s="533">
        <f>B22+1</f>
        <v>18</v>
      </c>
      <c r="C24" s="534" t="s">
        <v>229</v>
      </c>
      <c r="D24" s="534"/>
      <c r="E24" s="535"/>
      <c r="F24" s="536">
        <f>GT6</f>
        <v>2101127818</v>
      </c>
      <c r="G24" s="537"/>
      <c r="H24" s="536">
        <f>GX6</f>
        <v>2110320714.5333333</v>
      </c>
      <c r="I24" s="538"/>
      <c r="J24" s="537"/>
      <c r="K24" s="536">
        <f>HH26</f>
        <v>2246895791</v>
      </c>
      <c r="L24" s="538"/>
      <c r="M24" s="537"/>
      <c r="N24" s="536">
        <f>JL26</f>
        <v>2235729779</v>
      </c>
      <c r="O24" s="538"/>
      <c r="P24" s="537"/>
      <c r="Q24" s="539">
        <f t="shared" ref="Q24" si="107">N24-F24</f>
        <v>134601961</v>
      </c>
      <c r="R24" s="540">
        <f>N24/F24-1</f>
        <v>6.4061767136148529E-2</v>
      </c>
      <c r="S24" s="17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8"/>
      <c r="AE24" s="17"/>
      <c r="AF24" s="17"/>
      <c r="AG24" s="17"/>
      <c r="AH24" s="17"/>
      <c r="AI24" s="17"/>
      <c r="AJ24" s="17"/>
      <c r="AK24" s="17"/>
      <c r="AL24" s="43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8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8"/>
      <c r="DC24" s="17"/>
      <c r="DD24" s="17"/>
      <c r="DE24" s="17"/>
      <c r="DF24" s="17"/>
      <c r="DG24" s="21"/>
      <c r="DH24" s="17"/>
      <c r="DI24" s="17"/>
      <c r="DJ24" s="17"/>
      <c r="DK24" s="17"/>
      <c r="DL24" s="18"/>
      <c r="DM24" s="17"/>
      <c r="DN24" s="17"/>
      <c r="DO24" s="17"/>
      <c r="DP24" s="17"/>
      <c r="DQ24" s="21"/>
      <c r="DR24" s="17"/>
      <c r="DS24" s="17"/>
      <c r="DT24" s="17"/>
      <c r="DU24" s="18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8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8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8"/>
      <c r="FL24" s="17"/>
      <c r="FM24" s="237">
        <f t="shared" si="79"/>
        <v>19</v>
      </c>
      <c r="FN24" s="459"/>
      <c r="FO24" s="508" t="s">
        <v>236</v>
      </c>
      <c r="FP24" s="509">
        <v>13639.07</v>
      </c>
      <c r="FQ24" s="509">
        <v>52122.48</v>
      </c>
      <c r="FR24" s="509">
        <v>52696.87</v>
      </c>
      <c r="FS24" s="510">
        <f>FP24+FR24+FQ24</f>
        <v>118458.42000000001</v>
      </c>
      <c r="FT24" s="509">
        <v>13978.39</v>
      </c>
      <c r="FU24" s="509">
        <v>52122.48</v>
      </c>
      <c r="FV24" s="509">
        <v>53496.87</v>
      </c>
      <c r="FW24" s="509">
        <v>119597.74</v>
      </c>
      <c r="FX24" s="509">
        <v>119597.74</v>
      </c>
      <c r="FY24" s="21"/>
      <c r="FZ24" s="375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8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8"/>
      <c r="HA24" s="17"/>
      <c r="HB24" s="17"/>
      <c r="HC24" s="237">
        <v>19</v>
      </c>
      <c r="HD24" s="261">
        <v>19</v>
      </c>
      <c r="HE24" s="261">
        <v>10</v>
      </c>
      <c r="HF24" s="261">
        <v>12</v>
      </c>
      <c r="HG24" s="262">
        <v>253330428</v>
      </c>
      <c r="HH24" s="262">
        <v>303311029</v>
      </c>
      <c r="HI24" s="264">
        <f t="shared" si="2"/>
        <v>1.2</v>
      </c>
      <c r="HJ24" s="264">
        <f t="shared" si="3"/>
        <v>1.1972941087045414</v>
      </c>
      <c r="HK24" s="265">
        <v>0</v>
      </c>
      <c r="HL24" s="265">
        <v>8.3333333333333329E-2</v>
      </c>
      <c r="HM24" s="265">
        <v>0.91666666666666663</v>
      </c>
      <c r="HN24" s="17"/>
      <c r="HO24" s="18"/>
      <c r="HP24" s="17"/>
      <c r="HQ24" s="377">
        <v>19</v>
      </c>
      <c r="HR24" s="272">
        <v>19</v>
      </c>
      <c r="HS24" s="268">
        <f t="shared" si="4"/>
        <v>1.1972941087045414</v>
      </c>
      <c r="HT24" s="244">
        <v>2310.31</v>
      </c>
      <c r="HU24" s="245">
        <f t="shared" si="24"/>
        <v>2766.1205522811892</v>
      </c>
      <c r="HV24" s="244">
        <v>28652340</v>
      </c>
      <c r="HW24" s="245">
        <v>34140335</v>
      </c>
      <c r="HX24" s="244">
        <v>14964699.7367</v>
      </c>
      <c r="HY24" s="245">
        <v>16633445</v>
      </c>
      <c r="HZ24" s="244">
        <v>225000</v>
      </c>
      <c r="IA24" s="244">
        <v>270000</v>
      </c>
      <c r="IB24" s="244">
        <f t="shared" si="25"/>
        <v>15192010.046700001</v>
      </c>
      <c r="IC24" s="244">
        <f t="shared" si="25"/>
        <v>16906211.120552279</v>
      </c>
      <c r="ID24" s="269"/>
      <c r="IE24" s="270"/>
      <c r="IF24" s="269"/>
      <c r="IG24" s="271">
        <v>19</v>
      </c>
      <c r="IH24" s="272">
        <v>19</v>
      </c>
      <c r="II24" s="273">
        <f t="shared" si="5"/>
        <v>1.2</v>
      </c>
      <c r="IJ24" s="274">
        <f t="shared" si="5"/>
        <v>1.1972941087045414</v>
      </c>
      <c r="IK24" s="244">
        <v>4671896.1113116555</v>
      </c>
      <c r="IL24" s="245">
        <f t="shared" si="65"/>
        <v>5593633.6905531017</v>
      </c>
      <c r="IM24" s="244">
        <v>104803.55338688221</v>
      </c>
      <c r="IN24" s="245">
        <f t="shared" si="26"/>
        <v>125480.67704141595</v>
      </c>
      <c r="IO24" s="244">
        <v>1567043.7027883448</v>
      </c>
      <c r="IP24" s="245">
        <f t="shared" si="27"/>
        <v>1880452.4433460138</v>
      </c>
      <c r="IQ24" s="244">
        <v>2651552.7999999998</v>
      </c>
      <c r="IR24" s="245">
        <v>3030245</v>
      </c>
      <c r="IS24" s="244">
        <v>152039.7100662365</v>
      </c>
      <c r="IT24" s="245">
        <f t="shared" si="28"/>
        <v>182036.24915145151</v>
      </c>
      <c r="IU24" s="244">
        <v>125054.47999999998</v>
      </c>
      <c r="IV24" s="245">
        <f t="shared" si="29"/>
        <v>149726.99217110989</v>
      </c>
      <c r="IW24" s="244">
        <v>1069563.8900000001</v>
      </c>
      <c r="IX24" s="245">
        <f t="shared" si="30"/>
        <v>1280582.5443801123</v>
      </c>
      <c r="IY24" s="244">
        <v>1989780.2541105319</v>
      </c>
      <c r="IZ24" s="245">
        <f t="shared" si="31"/>
        <v>2382352.1758631654</v>
      </c>
      <c r="JA24" s="244">
        <f t="shared" si="32"/>
        <v>12331734.501663651</v>
      </c>
      <c r="JB24" s="244">
        <f t="shared" si="32"/>
        <v>14624509.772506371</v>
      </c>
      <c r="JC24" s="275">
        <f t="shared" si="6"/>
        <v>4.821621495506637</v>
      </c>
      <c r="JD24" s="17"/>
      <c r="JE24" s="18"/>
      <c r="JF24" s="17"/>
      <c r="JG24" s="237">
        <v>19</v>
      </c>
      <c r="JH24" s="261">
        <v>19</v>
      </c>
      <c r="JI24" s="35">
        <f t="shared" si="7"/>
        <v>12</v>
      </c>
      <c r="JJ24" s="353">
        <f t="shared" si="106"/>
        <v>12</v>
      </c>
      <c r="JK24" s="243">
        <f t="shared" si="8"/>
        <v>303311029</v>
      </c>
      <c r="JL24" s="243">
        <f t="shared" si="9"/>
        <v>301803716.28745139</v>
      </c>
      <c r="JM24" s="277">
        <f t="shared" si="34"/>
        <v>1</v>
      </c>
      <c r="JN24" s="277">
        <f t="shared" si="35"/>
        <v>0.99503047179814685</v>
      </c>
      <c r="JO24" s="277">
        <f t="shared" si="36"/>
        <v>1.0267132366599521</v>
      </c>
      <c r="JP24" s="261" t="s">
        <v>241</v>
      </c>
      <c r="JQ24" s="278"/>
      <c r="JR24" s="279"/>
      <c r="JS24" s="278"/>
      <c r="JT24" s="237">
        <v>19</v>
      </c>
      <c r="JU24" s="261">
        <v>19</v>
      </c>
      <c r="JV24" s="280" t="str">
        <f t="shared" si="10"/>
        <v>Q3</v>
      </c>
      <c r="JW24" s="281">
        <f t="shared" si="11"/>
        <v>1.0267132366599521</v>
      </c>
      <c r="JX24" s="244">
        <f t="shared" si="37"/>
        <v>2766.1205522811892</v>
      </c>
      <c r="JY24" s="244">
        <f t="shared" si="38"/>
        <v>2840.012585224234</v>
      </c>
      <c r="JZ24" s="244">
        <f t="shared" si="12"/>
        <v>34140335</v>
      </c>
      <c r="KA24" s="244">
        <f t="shared" si="39"/>
        <v>33257205.791304488</v>
      </c>
      <c r="KB24" s="244">
        <f t="shared" si="13"/>
        <v>16633445</v>
      </c>
      <c r="KC24" s="244">
        <f t="shared" si="14"/>
        <v>17036593.57596172</v>
      </c>
      <c r="KD24" s="244">
        <f t="shared" si="40"/>
        <v>270000</v>
      </c>
      <c r="KE24" s="244">
        <f t="shared" si="41"/>
        <v>639642.05336067372</v>
      </c>
      <c r="KF24" s="244">
        <f t="shared" si="42"/>
        <v>16906211.120552279</v>
      </c>
      <c r="KG24" s="244">
        <f t="shared" si="42"/>
        <v>17679075.641907617</v>
      </c>
      <c r="KH24" s="282"/>
      <c r="KI24" s="279"/>
      <c r="KJ24" s="278"/>
      <c r="KK24" s="324">
        <f t="shared" si="66"/>
        <v>19</v>
      </c>
      <c r="KL24" s="325">
        <v>18</v>
      </c>
      <c r="KM24" s="378">
        <f t="shared" si="67"/>
        <v>1</v>
      </c>
      <c r="KN24" s="378">
        <f t="shared" si="67"/>
        <v>0.99503047179814674</v>
      </c>
      <c r="KO24" s="330">
        <v>1.69933333</v>
      </c>
      <c r="KP24" s="300">
        <f t="shared" si="68"/>
        <v>5090177.2683517421</v>
      </c>
      <c r="KQ24" s="330">
        <v>1.69933333</v>
      </c>
      <c r="KR24" s="300">
        <f t="shared" si="43"/>
        <v>180689.53462949878</v>
      </c>
      <c r="KS24" s="330">
        <v>1.69933333</v>
      </c>
      <c r="KT24" s="300">
        <f t="shared" si="44"/>
        <v>1665820.1167347941</v>
      </c>
      <c r="KU24" s="330">
        <v>1.7150382799999999</v>
      </c>
      <c r="KV24" s="300">
        <f t="shared" si="69"/>
        <v>2590268.1493774909</v>
      </c>
      <c r="KW24" s="330">
        <v>1.69933333</v>
      </c>
      <c r="KX24" s="300">
        <f t="shared" si="45"/>
        <v>324940.35605382139</v>
      </c>
      <c r="KY24" s="330">
        <v>1.69933333</v>
      </c>
      <c r="KZ24" s="300">
        <f t="shared" si="46"/>
        <v>128390.24970500676</v>
      </c>
      <c r="LA24" s="330">
        <v>1.69933333</v>
      </c>
      <c r="LB24" s="300">
        <f t="shared" si="47"/>
        <v>1354646.1035022344</v>
      </c>
      <c r="LC24" s="330">
        <v>1.69933333</v>
      </c>
      <c r="LD24" s="300">
        <f t="shared" si="48"/>
        <v>1364743.6410068155</v>
      </c>
      <c r="LE24" s="303">
        <f t="shared" si="49"/>
        <v>12369008.655775366</v>
      </c>
      <c r="LF24" s="303">
        <f t="shared" si="70"/>
        <v>12699675.419361405</v>
      </c>
      <c r="LG24" s="21"/>
      <c r="LH24" s="291"/>
      <c r="LI24" s="17"/>
      <c r="LJ24" s="237">
        <v>19</v>
      </c>
      <c r="LK24" s="292">
        <v>19</v>
      </c>
      <c r="LL24" s="244">
        <f t="shared" si="15"/>
        <v>15192010.046700001</v>
      </c>
      <c r="LM24" s="244">
        <f t="shared" si="15"/>
        <v>16906211.120552279</v>
      </c>
      <c r="LN24" s="245">
        <f t="shared" si="16"/>
        <v>17679075.641907617</v>
      </c>
      <c r="LO24" s="244">
        <f t="shared" si="17"/>
        <v>12331734.501663651</v>
      </c>
      <c r="LP24" s="244">
        <f t="shared" si="17"/>
        <v>14624509.772506371</v>
      </c>
      <c r="LQ24" s="245">
        <f t="shared" si="50"/>
        <v>15015177.763095116</v>
      </c>
      <c r="LR24" s="244">
        <f t="shared" si="51"/>
        <v>2860275.5450363494</v>
      </c>
      <c r="LS24" s="244">
        <f t="shared" si="51"/>
        <v>2281701.3480459079</v>
      </c>
      <c r="LT24" s="244">
        <f t="shared" si="51"/>
        <v>2663897.8788125012</v>
      </c>
      <c r="LU24" s="17"/>
      <c r="LV24" s="18"/>
      <c r="LW24" s="17"/>
      <c r="LX24" s="17"/>
      <c r="LY24" s="17"/>
      <c r="LZ24" s="17"/>
      <c r="MA24" s="17"/>
      <c r="MB24" s="18"/>
      <c r="MC24" s="17"/>
      <c r="MD24" s="414">
        <f t="shared" si="80"/>
        <v>18</v>
      </c>
      <c r="ME24" s="386" t="s">
        <v>237</v>
      </c>
      <c r="MF24" s="541">
        <f>1-(MF8+MF21)/(MF8+MF21+MF23)</f>
        <v>5.9300000000000019E-2</v>
      </c>
      <c r="MG24" s="446"/>
      <c r="MH24" s="542">
        <f>1-(MH8+MH21)/(MH8+MH21+MH23)</f>
        <v>5.9300000000000019E-2</v>
      </c>
      <c r="MI24" s="446"/>
      <c r="MJ24" s="17"/>
      <c r="MK24" s="18"/>
      <c r="ML24" s="17"/>
      <c r="MM24" s="414">
        <f t="shared" si="81"/>
        <v>18</v>
      </c>
      <c r="MN24" s="543" t="str">
        <f>ME24</f>
        <v>Pre-Tax Return</v>
      </c>
      <c r="MO24" s="544">
        <v>5.3900000000000059E-2</v>
      </c>
      <c r="MP24" s="545">
        <f>MF24</f>
        <v>5.9300000000000019E-2</v>
      </c>
      <c r="MQ24" s="545">
        <f t="shared" si="72"/>
        <v>5.3999999999999604E-3</v>
      </c>
      <c r="MR24" s="546">
        <f t="shared" si="73"/>
        <v>0.10018552875695648</v>
      </c>
      <c r="MS24" s="17"/>
      <c r="MT24" s="18"/>
      <c r="MU24" s="17"/>
    </row>
    <row r="25" spans="1:359" ht="17.25" thickBot="1" x14ac:dyDescent="0.35">
      <c r="A25" s="6"/>
      <c r="B25" s="547">
        <f>B24+1</f>
        <v>19</v>
      </c>
      <c r="C25" s="548" t="s">
        <v>238</v>
      </c>
      <c r="D25" s="548"/>
      <c r="E25" s="549"/>
      <c r="F25" s="550">
        <f>HE26</f>
        <v>209</v>
      </c>
      <c r="G25" s="551"/>
      <c r="H25" s="550">
        <f>HE26</f>
        <v>209</v>
      </c>
      <c r="I25" s="552"/>
      <c r="J25" s="551"/>
      <c r="K25" s="550">
        <f>JI26</f>
        <v>221</v>
      </c>
      <c r="L25" s="552"/>
      <c r="M25" s="551"/>
      <c r="N25" s="550">
        <f>JJ26</f>
        <v>220</v>
      </c>
      <c r="O25" s="552"/>
      <c r="P25" s="551"/>
      <c r="Q25" s="553">
        <f>N25-F25</f>
        <v>11</v>
      </c>
      <c r="R25" s="554">
        <f>N25/F25-1</f>
        <v>5.2631578947368363E-2</v>
      </c>
      <c r="AL25" s="437"/>
      <c r="DX25" s="17"/>
      <c r="DY25" s="17"/>
      <c r="DZ25" s="17"/>
      <c r="EA25" s="17"/>
      <c r="EB25" s="17"/>
      <c r="FM25" s="414">
        <f>FM24+1</f>
        <v>20</v>
      </c>
      <c r="FN25" s="555"/>
      <c r="FO25" s="556" t="s">
        <v>224</v>
      </c>
      <c r="FP25" s="458">
        <f>SUM(FP22:FP24)</f>
        <v>183468.94</v>
      </c>
      <c r="FQ25" s="458">
        <f t="shared" ref="FQ25:FR25" si="108">SUM(FQ22:FQ24)</f>
        <v>451964.67209999997</v>
      </c>
      <c r="FR25" s="458">
        <f t="shared" si="108"/>
        <v>681734.44960000005</v>
      </c>
      <c r="FS25" s="483">
        <f>FP25+FR25+FQ25</f>
        <v>1317168.0617</v>
      </c>
      <c r="FT25" s="458">
        <v>189879.72659999999</v>
      </c>
      <c r="FU25" s="458">
        <v>436117.67209999997</v>
      </c>
      <c r="FV25" s="458">
        <v>666899.9334000001</v>
      </c>
      <c r="FW25" s="458">
        <v>1292897.3321</v>
      </c>
      <c r="FX25" s="458">
        <v>1292897.3321</v>
      </c>
      <c r="FY25" s="21"/>
      <c r="FZ25" s="375"/>
      <c r="HC25" s="428">
        <v>20</v>
      </c>
      <c r="HD25" s="557">
        <v>20</v>
      </c>
      <c r="HE25" s="557">
        <v>11</v>
      </c>
      <c r="HF25" s="557">
        <v>13</v>
      </c>
      <c r="HG25" s="558">
        <v>367539494</v>
      </c>
      <c r="HH25" s="558">
        <v>440462212</v>
      </c>
      <c r="HI25" s="559">
        <f t="shared" si="2"/>
        <v>1.1818181818181819</v>
      </c>
      <c r="HJ25" s="559">
        <f t="shared" si="3"/>
        <v>1.1984078423963875</v>
      </c>
      <c r="HK25" s="560">
        <v>0</v>
      </c>
      <c r="HL25" s="560">
        <v>0</v>
      </c>
      <c r="HM25" s="560">
        <v>1</v>
      </c>
      <c r="HQ25" s="561">
        <v>20</v>
      </c>
      <c r="HR25" s="562">
        <v>20</v>
      </c>
      <c r="HS25" s="563">
        <f t="shared" si="4"/>
        <v>1.1984078423963875</v>
      </c>
      <c r="HT25" s="430">
        <v>255382.02999999997</v>
      </c>
      <c r="HU25" s="564">
        <f t="shared" si="24"/>
        <v>306051.82755910949</v>
      </c>
      <c r="HV25" s="430">
        <v>40668203</v>
      </c>
      <c r="HW25" s="564">
        <v>48749857</v>
      </c>
      <c r="HX25" s="430">
        <v>21119497.644400001</v>
      </c>
      <c r="HY25" s="564">
        <v>23546661</v>
      </c>
      <c r="HZ25" s="430">
        <v>247500</v>
      </c>
      <c r="IA25" s="430">
        <v>292500</v>
      </c>
      <c r="IB25" s="430">
        <f t="shared" si="25"/>
        <v>21622379.674400002</v>
      </c>
      <c r="IC25" s="430">
        <f t="shared" si="25"/>
        <v>24145212.82755911</v>
      </c>
      <c r="ID25" s="269"/>
      <c r="IE25" s="270"/>
      <c r="IF25" s="269"/>
      <c r="IG25" s="565">
        <v>20</v>
      </c>
      <c r="IH25" s="562">
        <v>20</v>
      </c>
      <c r="II25" s="566">
        <f t="shared" si="5"/>
        <v>1.1818181818181819</v>
      </c>
      <c r="IJ25" s="567">
        <f t="shared" si="5"/>
        <v>1.1984078423963875</v>
      </c>
      <c r="IK25" s="430">
        <v>6439824.411406151</v>
      </c>
      <c r="IL25" s="564">
        <f t="shared" si="65"/>
        <v>7717536.0782848317</v>
      </c>
      <c r="IM25" s="430">
        <v>285283.47923992202</v>
      </c>
      <c r="IN25" s="564">
        <f t="shared" si="26"/>
        <v>341885.95882724953</v>
      </c>
      <c r="IO25" s="430">
        <v>2542515.1659938497</v>
      </c>
      <c r="IP25" s="564">
        <f t="shared" si="27"/>
        <v>3004790.6507200045</v>
      </c>
      <c r="IQ25" s="430">
        <v>3101716.4000000004</v>
      </c>
      <c r="IR25" s="564">
        <v>4140900.6</v>
      </c>
      <c r="IS25" s="430">
        <v>527382.62453457923</v>
      </c>
      <c r="IT25" s="564">
        <f>IS25*$HJ25</f>
        <v>632019.47318582924</v>
      </c>
      <c r="IU25" s="430">
        <v>123409.05500000001</v>
      </c>
      <c r="IV25" s="564">
        <f t="shared" si="29"/>
        <v>147894.37933472713</v>
      </c>
      <c r="IW25" s="430">
        <v>1622051.2439999997</v>
      </c>
      <c r="IX25" s="564">
        <f t="shared" si="30"/>
        <v>1943878.9315784159</v>
      </c>
      <c r="IY25" s="430">
        <v>1486264.1871736227</v>
      </c>
      <c r="IZ25" s="564">
        <f t="shared" si="31"/>
        <v>1781150.6577817618</v>
      </c>
      <c r="JA25" s="430">
        <f t="shared" si="32"/>
        <v>16128446.567348123</v>
      </c>
      <c r="JB25" s="430">
        <f t="shared" si="32"/>
        <v>19710056.729712818</v>
      </c>
      <c r="JC25" s="568">
        <f t="shared" si="6"/>
        <v>4.474857591123576</v>
      </c>
      <c r="JG25" s="428">
        <v>20</v>
      </c>
      <c r="JH25" s="557">
        <v>20</v>
      </c>
      <c r="JI25" s="569">
        <f t="shared" si="7"/>
        <v>13</v>
      </c>
      <c r="JJ25" s="570">
        <f t="shared" si="106"/>
        <v>13</v>
      </c>
      <c r="JK25" s="571">
        <f t="shared" si="8"/>
        <v>440462212</v>
      </c>
      <c r="JL25" s="571">
        <f t="shared" si="9"/>
        <v>438273322.61561531</v>
      </c>
      <c r="JM25" s="572">
        <f t="shared" si="34"/>
        <v>1</v>
      </c>
      <c r="JN25" s="572">
        <f t="shared" si="35"/>
        <v>0.99503047179814674</v>
      </c>
      <c r="JO25" s="572">
        <f t="shared" si="36"/>
        <v>1.0268231709115556</v>
      </c>
      <c r="JP25" s="557" t="s">
        <v>241</v>
      </c>
      <c r="JQ25" s="278"/>
      <c r="JR25" s="279"/>
      <c r="JS25" s="278"/>
      <c r="JT25" s="428">
        <v>20</v>
      </c>
      <c r="JU25" s="557">
        <v>20</v>
      </c>
      <c r="JV25" s="573" t="str">
        <f t="shared" si="10"/>
        <v>Q3</v>
      </c>
      <c r="JW25" s="574">
        <f t="shared" si="11"/>
        <v>1.0268231709115556</v>
      </c>
      <c r="JX25" s="575">
        <f t="shared" si="37"/>
        <v>306051.82755910949</v>
      </c>
      <c r="JY25" s="575">
        <f t="shared" si="38"/>
        <v>314261.10803752142</v>
      </c>
      <c r="JZ25" s="575">
        <f t="shared" si="12"/>
        <v>48749857</v>
      </c>
      <c r="KA25" s="575">
        <f t="shared" si="39"/>
        <v>48295449.31508965</v>
      </c>
      <c r="KB25" s="575">
        <f t="shared" si="13"/>
        <v>23546661</v>
      </c>
      <c r="KC25" s="575">
        <f t="shared" si="14"/>
        <v>24740200.566241495</v>
      </c>
      <c r="KD25" s="575">
        <f t="shared" si="40"/>
        <v>292500</v>
      </c>
      <c r="KE25" s="575">
        <f t="shared" si="41"/>
        <v>928875.40107044508</v>
      </c>
      <c r="KF25" s="575">
        <f t="shared" si="42"/>
        <v>24145212.82755911</v>
      </c>
      <c r="KG25" s="575">
        <f t="shared" si="42"/>
        <v>25983337.075349461</v>
      </c>
      <c r="KH25" s="282"/>
      <c r="KI25" s="279"/>
      <c r="KJ25" s="278"/>
      <c r="KK25" s="335">
        <f t="shared" si="66"/>
        <v>20</v>
      </c>
      <c r="KL25" s="336">
        <v>19</v>
      </c>
      <c r="KM25" s="337">
        <f t="shared" si="67"/>
        <v>1</v>
      </c>
      <c r="KN25" s="337">
        <f t="shared" si="67"/>
        <v>0.99503047179814685</v>
      </c>
      <c r="KO25" s="275">
        <v>1.69933333</v>
      </c>
      <c r="KP25" s="245">
        <f t="shared" si="68"/>
        <v>5744378.0861099875</v>
      </c>
      <c r="KQ25" s="275">
        <v>1.69933333</v>
      </c>
      <c r="KR25" s="245">
        <f t="shared" si="43"/>
        <v>128862.29082971653</v>
      </c>
      <c r="KS25" s="275">
        <v>1.69933333</v>
      </c>
      <c r="KT25" s="245">
        <f t="shared" si="44"/>
        <v>1940774.0122792707</v>
      </c>
      <c r="KU25" s="275">
        <v>1.7150382799999999</v>
      </c>
      <c r="KV25" s="245">
        <f t="shared" si="69"/>
        <v>3098811.1819902933</v>
      </c>
      <c r="KW25" s="275">
        <v>1.69933333</v>
      </c>
      <c r="KX25" s="245">
        <f t="shared" si="45"/>
        <v>186941.99483768092</v>
      </c>
      <c r="KY25" s="275">
        <v>1.69933333</v>
      </c>
      <c r="KZ25" s="245">
        <f t="shared" si="46"/>
        <v>153762.02667319088</v>
      </c>
      <c r="LA25" s="275">
        <v>1.69933333</v>
      </c>
      <c r="LB25" s="245">
        <f t="shared" si="47"/>
        <v>1315093.3207899616</v>
      </c>
      <c r="LC25" s="275">
        <v>1.69933333</v>
      </c>
      <c r="LD25" s="338">
        <f t="shared" si="48"/>
        <v>2446554.8495850149</v>
      </c>
      <c r="LE25" s="339">
        <f t="shared" si="49"/>
        <v>14624509.772506371</v>
      </c>
      <c r="LF25" s="339">
        <f t="shared" si="70"/>
        <v>15015177.763095116</v>
      </c>
      <c r="LG25" s="21"/>
      <c r="LH25" s="291"/>
      <c r="LJ25" s="428">
        <v>20</v>
      </c>
      <c r="LK25" s="905">
        <v>20</v>
      </c>
      <c r="LL25" s="430">
        <f t="shared" si="15"/>
        <v>21622379.674400002</v>
      </c>
      <c r="LM25" s="430">
        <f t="shared" si="15"/>
        <v>24145212.82755911</v>
      </c>
      <c r="LN25" s="564">
        <f t="shared" si="16"/>
        <v>25983337.075349461</v>
      </c>
      <c r="LO25" s="430">
        <f t="shared" si="17"/>
        <v>16128446.567348123</v>
      </c>
      <c r="LP25" s="430">
        <f t="shared" si="17"/>
        <v>19710056.729712818</v>
      </c>
      <c r="LQ25" s="564">
        <f t="shared" si="50"/>
        <v>20238742.950050361</v>
      </c>
      <c r="LR25" s="430">
        <f t="shared" si="51"/>
        <v>5493933.1070518792</v>
      </c>
      <c r="LS25" s="430">
        <f t="shared" si="51"/>
        <v>4435156.097846292</v>
      </c>
      <c r="LT25" s="430">
        <f t="shared" si="51"/>
        <v>5744594.1252990998</v>
      </c>
      <c r="MD25" s="461">
        <f>MD24+1</f>
        <v>19</v>
      </c>
      <c r="ME25" s="576" t="s">
        <v>239</v>
      </c>
      <c r="MF25" s="577">
        <f>MF21+MF23-MF10</f>
        <v>139531260.05258948</v>
      </c>
      <c r="MG25" s="578">
        <f>MF25/$MF$34*100</f>
        <v>6.2409715772985406</v>
      </c>
      <c r="MH25" s="579">
        <f>MH21+MH23-MH10</f>
        <v>139531260.05258948</v>
      </c>
      <c r="MI25" s="578">
        <f>MH25/$MI$34*100</f>
        <v>6.2409715772985406</v>
      </c>
      <c r="MM25" s="461">
        <f>MM24+1</f>
        <v>19</v>
      </c>
      <c r="MN25" s="577" t="str">
        <f>ME25</f>
        <v>Revenue Requirement</v>
      </c>
      <c r="MO25" s="580">
        <v>129633933.91392434</v>
      </c>
      <c r="MP25" s="577">
        <f>MF25</f>
        <v>139531260.05258948</v>
      </c>
      <c r="MQ25" s="577">
        <f t="shared" si="72"/>
        <v>9897326.1386651397</v>
      </c>
      <c r="MR25" s="581">
        <f t="shared" si="73"/>
        <v>7.634826653673002E-2</v>
      </c>
    </row>
    <row r="26" spans="1:359" s="35" customFormat="1" ht="17.25" thickBo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8"/>
      <c r="AE26" s="17"/>
      <c r="AF26" s="17"/>
      <c r="AG26" s="17"/>
      <c r="AH26" s="17"/>
      <c r="AI26" s="17"/>
      <c r="AJ26" s="17"/>
      <c r="AK26" s="17"/>
      <c r="AL26" s="437"/>
      <c r="AM26" s="17"/>
      <c r="AN26" s="582"/>
      <c r="AO26" s="583"/>
      <c r="AP26" s="17"/>
      <c r="AQ26" s="20"/>
      <c r="AR26" s="17"/>
      <c r="AS26" s="584"/>
      <c r="AT26" s="584"/>
      <c r="AU26" s="20"/>
      <c r="AV26" s="584"/>
      <c r="AW26" s="584"/>
      <c r="AX26" s="584"/>
      <c r="AY26" s="20"/>
      <c r="AZ26" s="584"/>
      <c r="BA26" s="584"/>
      <c r="BB26" s="584"/>
      <c r="BC26" s="20"/>
      <c r="BD26" s="584"/>
      <c r="BE26" s="584"/>
      <c r="BF26" s="584"/>
      <c r="BG26" s="20"/>
      <c r="BH26" s="584"/>
      <c r="BI26" s="584"/>
      <c r="BJ26" s="584"/>
      <c r="BK26" s="20"/>
      <c r="BL26" s="584"/>
      <c r="BM26" s="584"/>
      <c r="BN26" s="584"/>
      <c r="BO26" s="20"/>
      <c r="BP26" s="584"/>
      <c r="BQ26" s="584"/>
      <c r="BR26" s="584"/>
      <c r="BS26" s="20"/>
      <c r="BT26" s="584"/>
      <c r="BU26" s="584"/>
      <c r="BV26" s="584"/>
      <c r="BW26" s="584"/>
      <c r="BX26" s="584"/>
      <c r="BY26" s="584"/>
      <c r="BZ26" s="584"/>
      <c r="CA26" s="584"/>
      <c r="CB26" s="584"/>
      <c r="CC26" s="584"/>
      <c r="CD26" s="584"/>
      <c r="CE26" s="584"/>
      <c r="CF26" s="584"/>
      <c r="CG26" s="584"/>
      <c r="CH26" s="584"/>
      <c r="CI26" s="584"/>
      <c r="CJ26" s="584"/>
      <c r="CK26" s="584"/>
      <c r="CL26" s="584"/>
      <c r="CM26" s="584"/>
      <c r="CN26" s="17"/>
      <c r="CO26" s="18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8"/>
      <c r="DC26" s="17"/>
      <c r="DD26" s="17"/>
      <c r="DE26" s="17"/>
      <c r="DF26" s="17"/>
      <c r="DG26" s="21"/>
      <c r="DH26" s="17"/>
      <c r="DI26" s="17"/>
      <c r="DJ26" s="17"/>
      <c r="DK26" s="17"/>
      <c r="DL26" s="18"/>
      <c r="DM26" s="17"/>
      <c r="DN26" s="17"/>
      <c r="DO26" s="17"/>
      <c r="DP26" s="17"/>
      <c r="DQ26" s="21"/>
      <c r="DR26" s="17"/>
      <c r="DS26" s="17"/>
      <c r="DT26" s="17"/>
      <c r="DU26" s="18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8"/>
      <c r="EI26" s="585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8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8"/>
      <c r="FL26" s="17"/>
      <c r="FM26" s="586">
        <f t="shared" si="79"/>
        <v>21</v>
      </c>
      <c r="FN26" s="587" t="s">
        <v>240</v>
      </c>
      <c r="FO26" s="588"/>
      <c r="FP26" s="589"/>
      <c r="FQ26" s="589"/>
      <c r="FR26" s="589"/>
      <c r="FS26" s="590"/>
      <c r="FT26" s="589"/>
      <c r="FU26" s="589"/>
      <c r="FV26" s="589"/>
      <c r="FW26" s="589"/>
      <c r="FX26" s="589"/>
      <c r="FY26" s="21"/>
      <c r="FZ26" s="375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8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8"/>
      <c r="HA26" s="17"/>
      <c r="HB26" s="17"/>
      <c r="HC26" s="440">
        <v>21</v>
      </c>
      <c r="HD26" s="591" t="s">
        <v>72</v>
      </c>
      <c r="HE26" s="591">
        <f>SUM(HE6:HE25)</f>
        <v>209</v>
      </c>
      <c r="HF26" s="591">
        <f>SUM(HF6:HF25)</f>
        <v>221</v>
      </c>
      <c r="HG26" s="592">
        <f>SUM(HG6:HG25)</f>
        <v>2110320714.5333333</v>
      </c>
      <c r="HH26" s="592">
        <f>SUM(HH6:HH25)</f>
        <v>2246895791</v>
      </c>
      <c r="HI26" s="593">
        <f t="shared" si="2"/>
        <v>1.0574162679425838</v>
      </c>
      <c r="HJ26" s="593">
        <f t="shared" si="3"/>
        <v>1.0647176874709625</v>
      </c>
      <c r="HK26" s="592"/>
      <c r="HL26" s="592"/>
      <c r="HM26" s="592"/>
      <c r="HN26" s="235"/>
      <c r="HO26" s="18"/>
      <c r="HP26" s="474"/>
      <c r="HQ26" s="594">
        <v>21</v>
      </c>
      <c r="HR26" s="595" t="s">
        <v>72</v>
      </c>
      <c r="HS26" s="596">
        <f t="shared" si="4"/>
        <v>1.0647176874709625</v>
      </c>
      <c r="HT26" s="597">
        <f t="shared" ref="HT26:IA26" si="109">SUM(HT6:HT25)</f>
        <v>646347.91849999991</v>
      </c>
      <c r="HU26" s="598">
        <f t="shared" si="109"/>
        <v>684860.95598302153</v>
      </c>
      <c r="HV26" s="597">
        <f t="shared" si="109"/>
        <v>234540682.18333334</v>
      </c>
      <c r="HW26" s="598">
        <f t="shared" si="109"/>
        <v>247914418</v>
      </c>
      <c r="HX26" s="597">
        <f t="shared" si="109"/>
        <v>115912022.84786788</v>
      </c>
      <c r="HY26" s="598">
        <f t="shared" si="109"/>
        <v>117864670</v>
      </c>
      <c r="HZ26" s="597">
        <f t="shared" si="109"/>
        <v>4627219.7305387855</v>
      </c>
      <c r="IA26" s="598">
        <f t="shared" si="109"/>
        <v>4751773.3776924405</v>
      </c>
      <c r="IB26" s="597">
        <f>SUM(HT26,HX26,HZ26)</f>
        <v>121185590.49690667</v>
      </c>
      <c r="IC26" s="597">
        <f>SUM(HU26,HY26,IA26)</f>
        <v>123301304.33367547</v>
      </c>
      <c r="ID26" s="599"/>
      <c r="IE26" s="600"/>
      <c r="IF26" s="599"/>
      <c r="IG26" s="271">
        <v>21</v>
      </c>
      <c r="IH26" s="601" t="s">
        <v>72</v>
      </c>
      <c r="II26" s="602">
        <f>HI26</f>
        <v>1.0574162679425838</v>
      </c>
      <c r="IJ26" s="603">
        <f t="shared" ref="IJ26" si="110">HJ26</f>
        <v>1.0647176874709625</v>
      </c>
      <c r="IK26" s="604">
        <f t="shared" ref="IK26:IZ26" si="111">SUM(IK6:IK25)</f>
        <v>39058884.42453292</v>
      </c>
      <c r="IL26" s="605">
        <f t="shared" si="111"/>
        <v>41654252.2961182</v>
      </c>
      <c r="IM26" s="604">
        <f t="shared" si="111"/>
        <v>2135514.2836399451</v>
      </c>
      <c r="IN26" s="605">
        <f t="shared" si="111"/>
        <v>2201015.7596107447</v>
      </c>
      <c r="IO26" s="604">
        <f t="shared" si="111"/>
        <v>17188216.339967083</v>
      </c>
      <c r="IP26" s="605">
        <f t="shared" si="111"/>
        <v>18170448.728735182</v>
      </c>
      <c r="IQ26" s="604">
        <f t="shared" si="111"/>
        <v>25427726.100000001</v>
      </c>
      <c r="IR26" s="605">
        <f t="shared" si="111"/>
        <v>26647988.950000003</v>
      </c>
      <c r="IS26" s="604">
        <f t="shared" si="111"/>
        <v>2517487.9952083677</v>
      </c>
      <c r="IT26" s="605">
        <f t="shared" si="111"/>
        <v>2646594.4802331016</v>
      </c>
      <c r="IU26" s="604">
        <f t="shared" si="111"/>
        <v>1527762.1653999996</v>
      </c>
      <c r="IV26" s="605">
        <f t="shared" si="111"/>
        <v>1578739.6616973686</v>
      </c>
      <c r="IW26" s="604">
        <f t="shared" si="111"/>
        <v>7476380.3075999999</v>
      </c>
      <c r="IX26" s="605">
        <f t="shared" si="111"/>
        <v>8049155.5163876601</v>
      </c>
      <c r="IY26" s="604">
        <f t="shared" si="111"/>
        <v>12512679.929996051</v>
      </c>
      <c r="IZ26" s="605">
        <f t="shared" si="111"/>
        <v>13363985.611233734</v>
      </c>
      <c r="JA26" s="604">
        <f t="shared" si="32"/>
        <v>107844651.54634437</v>
      </c>
      <c r="JB26" s="604">
        <f>IL26+IN26+IP26+IR26+IX26+IZ26+IT26+IV26</f>
        <v>114312181.004016</v>
      </c>
      <c r="JC26" s="606">
        <f t="shared" si="6"/>
        <v>5.0875604227795721</v>
      </c>
      <c r="JD26" s="235"/>
      <c r="JE26" s="607"/>
      <c r="JF26" s="17"/>
      <c r="JG26" s="440">
        <v>21</v>
      </c>
      <c r="JH26" s="591" t="s">
        <v>72</v>
      </c>
      <c r="JI26" s="517">
        <f>SUM(JI6:JI25)</f>
        <v>221</v>
      </c>
      <c r="JJ26" s="517">
        <f>SUM(JJ6:JJ25)</f>
        <v>220</v>
      </c>
      <c r="JK26" s="608">
        <f>SUM(JK6:JK25)</f>
        <v>2246895791</v>
      </c>
      <c r="JL26" s="608">
        <v>2235729779</v>
      </c>
      <c r="JM26" s="609">
        <f t="shared" si="34"/>
        <v>0.99547511312217196</v>
      </c>
      <c r="JN26" s="609">
        <f t="shared" si="35"/>
        <v>0.99503047179814674</v>
      </c>
      <c r="JO26" s="609">
        <f>LF27/LE28</f>
        <v>1.0262107849890993</v>
      </c>
      <c r="JP26" s="610" t="s">
        <v>241</v>
      </c>
      <c r="JQ26" s="611"/>
      <c r="JR26" s="612"/>
      <c r="JS26" s="611"/>
      <c r="JT26" s="237">
        <v>21</v>
      </c>
      <c r="JU26" s="613" t="s">
        <v>72</v>
      </c>
      <c r="JV26" s="614" t="str">
        <f>JP26</f>
        <v>Q3</v>
      </c>
      <c r="JW26" s="615">
        <f t="shared" si="11"/>
        <v>1.0262107849890993</v>
      </c>
      <c r="JX26" s="478">
        <f>SUM(JX6:JX25)</f>
        <v>684860.95598302153</v>
      </c>
      <c r="JY26" s="478">
        <f>SUM(JY6:JY25)</f>
        <v>702488.40241986408</v>
      </c>
      <c r="JZ26" s="478">
        <f t="shared" si="12"/>
        <v>247914418</v>
      </c>
      <c r="KA26" s="478">
        <f>SUMPRODUCT('Phase II Schedules'!HS4:HS28,'Phase II Schedules'!HX4:HX28)/100</f>
        <v>246365837.59999999</v>
      </c>
      <c r="KB26" s="478">
        <f>SUM(KB6:KB25)</f>
        <v>117864670</v>
      </c>
      <c r="KC26" s="478">
        <f>SUMPRODUCT('Phase II Schedules'!JI4:JI28,'Phase II Schedules'!JK4:JK28)/100</f>
        <v>126205270.29634005</v>
      </c>
      <c r="KD26" s="478">
        <f>SUM(KD6:KD25)</f>
        <v>4751773.3776924405</v>
      </c>
      <c r="KE26" s="478">
        <f>'Phase II Schedules'!II4*'Phase II Schedules'!IH4</f>
        <v>4738400.1899999995</v>
      </c>
      <c r="KF26" s="478">
        <f>SUM(JX26,KB26,KD26)</f>
        <v>123301304.33367547</v>
      </c>
      <c r="KG26" s="478">
        <f>SUM(JY26,KC26,KE26)</f>
        <v>131646158.88875991</v>
      </c>
      <c r="KH26" s="611"/>
      <c r="KI26" s="612"/>
      <c r="KJ26" s="611"/>
      <c r="KK26" s="324">
        <f t="shared" si="66"/>
        <v>21</v>
      </c>
      <c r="KL26" s="325">
        <v>20</v>
      </c>
      <c r="KM26" s="378">
        <f t="shared" si="67"/>
        <v>1</v>
      </c>
      <c r="KN26" s="378">
        <f t="shared" si="67"/>
        <v>0.99503047179814674</v>
      </c>
      <c r="KO26" s="330">
        <v>1.69933333</v>
      </c>
      <c r="KP26" s="300">
        <f t="shared" si="68"/>
        <v>7925518.1120877042</v>
      </c>
      <c r="KQ26" s="330">
        <v>1.69933333</v>
      </c>
      <c r="KR26" s="564">
        <f t="shared" si="43"/>
        <v>351099.53895492927</v>
      </c>
      <c r="KS26" s="330">
        <v>1.69933333</v>
      </c>
      <c r="KT26" s="300">
        <f t="shared" si="44"/>
        <v>3101178.9890737766</v>
      </c>
      <c r="KU26" s="330">
        <v>1.7150382799999999</v>
      </c>
      <c r="KV26" s="564">
        <f t="shared" si="69"/>
        <v>4234597.889870395</v>
      </c>
      <c r="KW26" s="330">
        <v>1.69933333</v>
      </c>
      <c r="KX26" s="564">
        <f t="shared" si="45"/>
        <v>649051.94237066037</v>
      </c>
      <c r="KY26" s="330">
        <v>1.69933333</v>
      </c>
      <c r="KZ26" s="564">
        <f t="shared" si="46"/>
        <v>151880.02624198279</v>
      </c>
      <c r="LA26" s="330">
        <v>1.69933333</v>
      </c>
      <c r="LB26" s="564">
        <f t="shared" si="47"/>
        <v>1996265.0674584678</v>
      </c>
      <c r="LC26" s="330">
        <v>1.69933333</v>
      </c>
      <c r="LD26" s="300">
        <f t="shared" si="48"/>
        <v>1829151.3839924394</v>
      </c>
      <c r="LE26" s="303">
        <f t="shared" si="49"/>
        <v>19710056.729712818</v>
      </c>
      <c r="LF26" s="303">
        <f t="shared" si="70"/>
        <v>20238742.950050361</v>
      </c>
      <c r="LG26" s="21"/>
      <c r="LH26" s="18"/>
      <c r="LI26" s="17"/>
      <c r="LJ26" s="906">
        <v>21</v>
      </c>
      <c r="LK26" s="907" t="s">
        <v>72</v>
      </c>
      <c r="LL26" s="908">
        <f>SUM(LL6:LL25)</f>
        <v>121185590.49690667</v>
      </c>
      <c r="LM26" s="908">
        <f t="shared" ref="LM26:LQ26" si="112">SUM(LM6:LM25)</f>
        <v>123301304.33367547</v>
      </c>
      <c r="LN26" s="909">
        <f t="shared" si="112"/>
        <v>131646158.88875991</v>
      </c>
      <c r="LO26" s="908">
        <f t="shared" si="112"/>
        <v>107844651.54634437</v>
      </c>
      <c r="LP26" s="908">
        <f t="shared" si="112"/>
        <v>114312181.004016</v>
      </c>
      <c r="LQ26" s="909">
        <f t="shared" si="112"/>
        <v>117308393.00194725</v>
      </c>
      <c r="LR26" s="908">
        <f t="shared" si="51"/>
        <v>13340938.950562298</v>
      </c>
      <c r="LS26" s="908">
        <f t="shared" si="51"/>
        <v>8989123.3296594769</v>
      </c>
      <c r="LT26" s="908">
        <f t="shared" si="51"/>
        <v>14337765.886812657</v>
      </c>
      <c r="LU26" s="17"/>
      <c r="LV26" s="18"/>
      <c r="LW26" s="17"/>
      <c r="LX26" s="17"/>
      <c r="LY26" s="17"/>
      <c r="LZ26" s="17"/>
      <c r="MA26" s="17"/>
      <c r="MB26" s="18"/>
      <c r="MC26" s="17"/>
      <c r="MD26" s="294">
        <f>MD25+1</f>
        <v>20</v>
      </c>
      <c r="ME26" s="303" t="s">
        <v>242</v>
      </c>
      <c r="MF26" s="303">
        <v>0</v>
      </c>
      <c r="MG26" s="381">
        <f>MF26/$MF$34*100</f>
        <v>0</v>
      </c>
      <c r="MH26" s="297">
        <f>MF26</f>
        <v>0</v>
      </c>
      <c r="MI26" s="381">
        <f>MH26/$MF$34*100</f>
        <v>0</v>
      </c>
      <c r="MJ26" s="17"/>
      <c r="MK26" s="18"/>
      <c r="ML26" s="17"/>
      <c r="MM26" s="294">
        <f>MM25+1</f>
        <v>20</v>
      </c>
      <c r="MN26" s="303" t="s">
        <v>242</v>
      </c>
      <c r="MO26" s="382">
        <v>0</v>
      </c>
      <c r="MP26" s="303">
        <f>MF26</f>
        <v>0</v>
      </c>
      <c r="MQ26" s="303">
        <f t="shared" si="72"/>
        <v>0</v>
      </c>
      <c r="MR26" s="313">
        <f>IFERROR(MQ26/MO26,0)</f>
        <v>0</v>
      </c>
      <c r="MS26" s="17"/>
      <c r="MT26" s="18"/>
      <c r="MU26" s="17"/>
    </row>
    <row r="27" spans="1:359" ht="17.25" thickBot="1" x14ac:dyDescent="0.35">
      <c r="AL27" s="437"/>
      <c r="AN27" s="406"/>
      <c r="AS27" s="24"/>
      <c r="AT27" s="308"/>
      <c r="AV27" s="24"/>
      <c r="AW27" s="308"/>
      <c r="AX27" s="309"/>
      <c r="AZ27" s="24"/>
      <c r="BA27" s="308"/>
      <c r="BB27" s="309"/>
      <c r="BD27" s="24"/>
      <c r="BE27" s="308"/>
      <c r="BF27" s="309"/>
      <c r="BH27" s="24"/>
      <c r="BI27" s="308"/>
      <c r="BJ27" s="309"/>
      <c r="BL27" s="24"/>
      <c r="BM27" s="308"/>
      <c r="BN27" s="309"/>
      <c r="BP27" s="24"/>
      <c r="BQ27" s="308"/>
      <c r="BR27" s="309"/>
      <c r="BT27" s="24"/>
      <c r="BU27" s="308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24"/>
      <c r="CH27" s="309"/>
      <c r="CI27" s="309"/>
      <c r="CJ27" s="309"/>
      <c r="CK27" s="309"/>
      <c r="CL27" s="309"/>
      <c r="CM27" s="309"/>
      <c r="DX27" s="17"/>
      <c r="DY27" s="17"/>
      <c r="DZ27" s="17"/>
      <c r="EA27" s="17"/>
      <c r="EB27" s="17"/>
      <c r="EG27" s="585"/>
      <c r="FM27" s="294">
        <f t="shared" si="79"/>
        <v>22</v>
      </c>
      <c r="FN27" s="321"/>
      <c r="FO27" s="322" t="s">
        <v>243</v>
      </c>
      <c r="FP27" s="303">
        <v>45878.05</v>
      </c>
      <c r="FQ27" s="303">
        <v>156504.24</v>
      </c>
      <c r="FR27" s="303">
        <v>121423.15</v>
      </c>
      <c r="FS27" s="300">
        <f t="shared" ref="FS27:FS32" si="113">FP27+FR27+FQ27</f>
        <v>323805.44</v>
      </c>
      <c r="FT27" s="303">
        <v>45878.05</v>
      </c>
      <c r="FU27" s="303">
        <v>156504.24</v>
      </c>
      <c r="FV27" s="303">
        <v>121423.14999999998</v>
      </c>
      <c r="FW27" s="303">
        <v>323805.43999999994</v>
      </c>
      <c r="FX27" s="303">
        <v>254427.37197434733</v>
      </c>
      <c r="FY27" s="21"/>
      <c r="FZ27" s="375"/>
      <c r="HC27" s="617"/>
      <c r="HP27" s="6"/>
      <c r="HQ27" s="618">
        <v>22</v>
      </c>
      <c r="HR27" s="619" t="s">
        <v>244</v>
      </c>
      <c r="HS27" s="620"/>
      <c r="HT27" s="621"/>
      <c r="HU27" s="622">
        <f>HU26/HT26</f>
        <v>1.0595856138477246</v>
      </c>
      <c r="HV27" s="621"/>
      <c r="HW27" s="622">
        <f>HW26/HV26</f>
        <v>1.057020964091052</v>
      </c>
      <c r="HX27" s="621"/>
      <c r="HY27" s="622">
        <f>HY26/HX26</f>
        <v>1.0168459414662698</v>
      </c>
      <c r="HZ27" s="621"/>
      <c r="IA27" s="622">
        <f>IA26/HZ26</f>
        <v>1.0269175994240396</v>
      </c>
      <c r="IB27" s="621"/>
      <c r="IC27" s="623">
        <f>IC26/IB26</f>
        <v>1.0174584604332377</v>
      </c>
      <c r="ID27" s="624"/>
      <c r="IE27" s="625"/>
      <c r="IF27" s="624"/>
      <c r="IG27" s="626">
        <v>22</v>
      </c>
      <c r="IH27" s="621" t="s">
        <v>244</v>
      </c>
      <c r="II27" s="627"/>
      <c r="IJ27" s="627"/>
      <c r="IK27" s="628"/>
      <c r="IL27" s="629">
        <f>IL26/IK26</f>
        <v>1.0664475678152017</v>
      </c>
      <c r="IM27" s="628"/>
      <c r="IN27" s="629">
        <f>IN26/IM26</f>
        <v>1.0306724597782382</v>
      </c>
      <c r="IO27" s="628"/>
      <c r="IP27" s="629">
        <f>IP26/IO26</f>
        <v>1.0571456845399456</v>
      </c>
      <c r="IQ27" s="628"/>
      <c r="IR27" s="629">
        <f>IR26/IQ26</f>
        <v>1.0479894602136681</v>
      </c>
      <c r="IS27" s="630"/>
      <c r="IT27" s="629">
        <f>IT26/IS26</f>
        <v>1.0512838532975997</v>
      </c>
      <c r="IU27" s="630"/>
      <c r="IV27" s="629">
        <f>IV26/IU26</f>
        <v>1.0333674294676765</v>
      </c>
      <c r="IW27" s="628"/>
      <c r="IX27" s="629">
        <f>IX26/IW26</f>
        <v>1.0766112992145964</v>
      </c>
      <c r="IY27" s="628"/>
      <c r="IZ27" s="629">
        <f>IZ26/IY26</f>
        <v>1.0680354397299725</v>
      </c>
      <c r="JA27" s="630"/>
      <c r="JB27" s="631">
        <f>JB26/JA26</f>
        <v>1.0599707947027148</v>
      </c>
      <c r="JC27" s="631"/>
      <c r="JD27" s="309"/>
      <c r="JE27" s="437"/>
      <c r="JK27" s="308"/>
      <c r="JR27" s="632"/>
      <c r="JS27" s="633"/>
      <c r="JT27" s="634">
        <v>22</v>
      </c>
      <c r="JU27" s="635" t="s">
        <v>245</v>
      </c>
      <c r="JV27" s="635"/>
      <c r="JW27" s="635"/>
      <c r="JX27" s="630"/>
      <c r="JY27" s="636">
        <f>JY26/JX26</f>
        <v>1.0257387229960289</v>
      </c>
      <c r="JZ27" s="628"/>
      <c r="KA27" s="636">
        <f>KA26/JZ26</f>
        <v>0.9937535686206036</v>
      </c>
      <c r="KB27" s="628"/>
      <c r="KC27" s="636">
        <f>KC26/KB26</f>
        <v>1.0707642103128956</v>
      </c>
      <c r="KD27" s="637"/>
      <c r="KE27" s="637">
        <f>KE26/KD26</f>
        <v>0.99718564278439237</v>
      </c>
      <c r="KF27" s="628"/>
      <c r="KG27" s="637">
        <f>KG26/KF26</f>
        <v>1.0676785586347226</v>
      </c>
      <c r="KH27" s="633"/>
      <c r="KI27" s="632"/>
      <c r="KJ27" s="633"/>
      <c r="KK27" s="638">
        <f t="shared" si="66"/>
        <v>22</v>
      </c>
      <c r="KL27" s="639" t="s">
        <v>72</v>
      </c>
      <c r="KM27" s="640">
        <f t="shared" si="67"/>
        <v>0.99547511312217196</v>
      </c>
      <c r="KN27" s="640">
        <f t="shared" si="67"/>
        <v>0.99503047179814674</v>
      </c>
      <c r="KO27" s="641"/>
      <c r="KP27" s="642">
        <f>SUM(KP7:KP26)</f>
        <v>42774511.97924985</v>
      </c>
      <c r="KQ27" s="643"/>
      <c r="KR27" s="644">
        <f>SUM(KR7:KR26)</f>
        <v>2260251.5072260876</v>
      </c>
      <c r="KS27" s="645"/>
      <c r="KT27" s="642">
        <f>SUM(KT7:KT26)</f>
        <v>18738346.045075003</v>
      </c>
      <c r="KU27" s="646"/>
      <c r="KV27" s="644">
        <f>SUM(KV7:KV26)</f>
        <v>27207281.816085886</v>
      </c>
      <c r="KW27" s="647"/>
      <c r="KX27" s="644">
        <f>SUM(KX7:KX26)</f>
        <v>2717817.5296666836</v>
      </c>
      <c r="KY27" s="647"/>
      <c r="KZ27" s="644">
        <f>SUM(KZ7:KZ26)</f>
        <v>1621184.6210397184</v>
      </c>
      <c r="LA27" s="647"/>
      <c r="LB27" s="644">
        <f>SUM(LB7:LB26)</f>
        <v>8265761.8626006208</v>
      </c>
      <c r="LC27" s="647"/>
      <c r="LD27" s="642">
        <f>SUM(LD7:LD26)</f>
        <v>13723237.641003413</v>
      </c>
      <c r="LE27" s="644"/>
      <c r="LF27" s="644">
        <f>KP27+KR27+KT27+KV27+LB27+LD27+KX27+KZ27</f>
        <v>117308393.00194727</v>
      </c>
      <c r="LG27" s="21"/>
      <c r="LH27" s="648"/>
      <c r="LJ27" s="6"/>
      <c r="LL27" s="649" t="s">
        <v>246</v>
      </c>
      <c r="LM27" s="650"/>
      <c r="LN27" s="260"/>
      <c r="LO27" s="260"/>
      <c r="LP27" s="260"/>
      <c r="LQ27" s="260"/>
      <c r="LR27" s="260"/>
      <c r="LS27" s="260"/>
      <c r="MD27" s="461">
        <f>MD26+1</f>
        <v>21</v>
      </c>
      <c r="ME27" s="651" t="s">
        <v>247</v>
      </c>
      <c r="MF27" s="651">
        <v>0</v>
      </c>
      <c r="MG27" s="652">
        <f>MF27/$MF$34*100</f>
        <v>0</v>
      </c>
      <c r="MH27" s="653">
        <f>MF27</f>
        <v>0</v>
      </c>
      <c r="MI27" s="652">
        <f>MH27/$MF$34*100</f>
        <v>0</v>
      </c>
      <c r="MM27" s="461">
        <f>MM26+1</f>
        <v>21</v>
      </c>
      <c r="MN27" s="651" t="s">
        <v>247</v>
      </c>
      <c r="MO27" s="654">
        <v>0</v>
      </c>
      <c r="MP27" s="651">
        <v>0</v>
      </c>
      <c r="MQ27" s="651">
        <f t="shared" si="72"/>
        <v>0</v>
      </c>
      <c r="MR27" s="581">
        <f>IFERROR(MQ27/MO27,0)</f>
        <v>0</v>
      </c>
    </row>
    <row r="28" spans="1:359" s="35" customFormat="1" ht="17.25" thickBo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8"/>
      <c r="AE28" s="17"/>
      <c r="AF28" s="17"/>
      <c r="AG28" s="17"/>
      <c r="AH28" s="17"/>
      <c r="AI28" s="17"/>
      <c r="AJ28" s="17"/>
      <c r="AK28" s="17"/>
      <c r="AL28" s="437"/>
      <c r="AM28" s="17"/>
      <c r="AN28" s="406"/>
      <c r="AO28" s="17"/>
      <c r="AP28" s="17"/>
      <c r="AQ28" s="17"/>
      <c r="AR28" s="17"/>
      <c r="AS28" s="24"/>
      <c r="AT28" s="308"/>
      <c r="AU28" s="17"/>
      <c r="AV28" s="24"/>
      <c r="AW28" s="308"/>
      <c r="AX28" s="309"/>
      <c r="AY28" s="17"/>
      <c r="AZ28" s="24"/>
      <c r="BA28" s="308"/>
      <c r="BB28" s="309"/>
      <c r="BC28" s="17"/>
      <c r="BD28" s="24"/>
      <c r="BE28" s="308"/>
      <c r="BF28" s="309"/>
      <c r="BG28" s="17"/>
      <c r="BH28" s="24"/>
      <c r="BI28" s="308"/>
      <c r="BJ28" s="309"/>
      <c r="BK28" s="17"/>
      <c r="BL28" s="24"/>
      <c r="BM28" s="308"/>
      <c r="BN28" s="309"/>
      <c r="BO28" s="17"/>
      <c r="BP28" s="24"/>
      <c r="BQ28" s="308"/>
      <c r="BR28" s="309"/>
      <c r="BS28" s="17"/>
      <c r="BT28" s="24"/>
      <c r="BU28" s="308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24"/>
      <c r="CG28" s="17"/>
      <c r="CH28" s="309"/>
      <c r="CI28" s="309"/>
      <c r="CJ28" s="309"/>
      <c r="CK28" s="309"/>
      <c r="CL28" s="309"/>
      <c r="CM28" s="309"/>
      <c r="CN28" s="17"/>
      <c r="CO28" s="18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8"/>
      <c r="DC28" s="17"/>
      <c r="DD28" s="17"/>
      <c r="DE28" s="17"/>
      <c r="DF28" s="17"/>
      <c r="DG28" s="21"/>
      <c r="DH28" s="17"/>
      <c r="DI28" s="17"/>
      <c r="DJ28" s="17"/>
      <c r="DK28" s="17"/>
      <c r="DL28" s="18"/>
      <c r="DM28" s="17"/>
      <c r="DN28" s="17"/>
      <c r="DO28" s="17"/>
      <c r="DP28" s="17"/>
      <c r="DQ28" s="21"/>
      <c r="DR28" s="17"/>
      <c r="DS28" s="17"/>
      <c r="DT28" s="17"/>
      <c r="DU28" s="18"/>
      <c r="DV28" s="17"/>
      <c r="DW28" s="17"/>
      <c r="DX28" s="22"/>
      <c r="DY28" s="23"/>
      <c r="DZ28" s="23"/>
      <c r="EA28" s="23"/>
      <c r="EB28" s="23"/>
      <c r="EC28" s="17"/>
      <c r="ED28" s="17"/>
      <c r="EE28" s="17"/>
      <c r="EF28" s="17"/>
      <c r="EG28" s="17"/>
      <c r="EH28" s="18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8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8"/>
      <c r="FL28" s="17"/>
      <c r="FM28" s="586">
        <f t="shared" si="79"/>
        <v>23</v>
      </c>
      <c r="FN28" s="655"/>
      <c r="FO28" s="656" t="s">
        <v>248</v>
      </c>
      <c r="FP28" s="657">
        <v>350</v>
      </c>
      <c r="FQ28" s="657">
        <v>0</v>
      </c>
      <c r="FR28" s="657">
        <v>0</v>
      </c>
      <c r="FS28" s="658">
        <f t="shared" si="113"/>
        <v>350</v>
      </c>
      <c r="FT28" s="657">
        <v>350</v>
      </c>
      <c r="FU28" s="657">
        <v>0</v>
      </c>
      <c r="FV28" s="657">
        <v>0</v>
      </c>
      <c r="FW28" s="657">
        <v>350</v>
      </c>
      <c r="FX28" s="657">
        <v>350</v>
      </c>
      <c r="FY28" s="21"/>
      <c r="FZ28" s="375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8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8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60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8"/>
      <c r="IF28" s="17"/>
      <c r="IG28" s="17"/>
      <c r="IH28" s="17"/>
      <c r="II28" s="17"/>
      <c r="IJ28" s="17"/>
      <c r="IK28" s="17"/>
      <c r="IL28" s="17"/>
      <c r="IM28" s="17"/>
      <c r="IN28" s="616"/>
      <c r="IO28" s="17"/>
      <c r="IP28" s="616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659" t="s">
        <v>249</v>
      </c>
      <c r="JB28" s="17"/>
      <c r="JC28" s="17"/>
      <c r="JD28" s="17"/>
      <c r="JE28" s="18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660"/>
      <c r="JS28" s="661"/>
      <c r="JT28" s="17"/>
      <c r="JU28" s="17"/>
      <c r="JV28" s="17"/>
      <c r="JW28" s="17"/>
      <c r="JX28" s="17"/>
      <c r="JY28" s="17"/>
      <c r="JZ28" s="17"/>
      <c r="KA28" s="530"/>
      <c r="KB28" s="17"/>
      <c r="KC28" s="17"/>
      <c r="KD28" s="17"/>
      <c r="KE28" s="17"/>
      <c r="KF28" s="661"/>
      <c r="KG28" s="661"/>
      <c r="KH28" s="661"/>
      <c r="KI28" s="660"/>
      <c r="KJ28" s="661"/>
      <c r="KK28" s="662">
        <f t="shared" si="66"/>
        <v>23</v>
      </c>
      <c r="KL28" s="635" t="s">
        <v>245</v>
      </c>
      <c r="KM28" s="663"/>
      <c r="KN28" s="664"/>
      <c r="KO28" s="665">
        <f>IL26</f>
        <v>41654252.2961182</v>
      </c>
      <c r="KP28" s="636">
        <f>KP27/KO28</f>
        <v>1.0268942453982315</v>
      </c>
      <c r="KQ28" s="665">
        <f>IN26</f>
        <v>2201015.7596107447</v>
      </c>
      <c r="KR28" s="636">
        <f>KR27/KQ28</f>
        <v>1.0269129138929105</v>
      </c>
      <c r="KS28" s="665">
        <f>IP26</f>
        <v>18170448.728735182</v>
      </c>
      <c r="KT28" s="636">
        <f>KT27/KS28</f>
        <v>1.0312538960824744</v>
      </c>
      <c r="KU28" s="666">
        <f>IR26</f>
        <v>26647988.950000003</v>
      </c>
      <c r="KV28" s="636">
        <f>KV27/IR26</f>
        <v>1.0209881829032312</v>
      </c>
      <c r="KW28" s="665">
        <f>IT26</f>
        <v>2646594.4802331016</v>
      </c>
      <c r="KX28" s="636">
        <f>KX27/KW28</f>
        <v>1.0269112060670922</v>
      </c>
      <c r="KY28" s="665">
        <f>IV26</f>
        <v>1578739.6616973686</v>
      </c>
      <c r="KZ28" s="636">
        <f>KZ27/KY28</f>
        <v>1.0268853442857802</v>
      </c>
      <c r="LA28" s="665">
        <f>IX26</f>
        <v>8049155.5163876601</v>
      </c>
      <c r="LB28" s="636">
        <f>LB27/LA28</f>
        <v>1.0269104436821928</v>
      </c>
      <c r="LC28" s="665">
        <f>IZ26</f>
        <v>13363985.611233734</v>
      </c>
      <c r="LD28" s="636">
        <f>LD27/LC28</f>
        <v>1.026882102407211</v>
      </c>
      <c r="LE28" s="665">
        <f>JB26</f>
        <v>114312181.004016</v>
      </c>
      <c r="LF28" s="637">
        <f>LF27/LE28</f>
        <v>1.0262107849890993</v>
      </c>
      <c r="LG28" s="667"/>
      <c r="LH28" s="18"/>
      <c r="LI28" s="17"/>
      <c r="LJ28" s="17"/>
      <c r="LK28" s="17"/>
      <c r="LL28" s="17"/>
      <c r="LM28" s="17"/>
      <c r="LN28" s="301"/>
      <c r="LO28" s="17"/>
      <c r="LP28" s="17"/>
      <c r="LQ28" s="17"/>
      <c r="LR28" s="17"/>
      <c r="LS28" s="17"/>
      <c r="LT28" s="17"/>
      <c r="LU28" s="17"/>
      <c r="LV28" s="18"/>
      <c r="LW28" s="17"/>
      <c r="LX28" s="17"/>
      <c r="LY28" s="17"/>
      <c r="LZ28" s="17"/>
      <c r="MA28" s="17"/>
      <c r="MB28" s="18"/>
      <c r="MC28" s="17"/>
      <c r="MD28" s="294">
        <f t="shared" ref="MD28:MD31" si="114">MD27+1</f>
        <v>22</v>
      </c>
      <c r="ME28" s="668" t="s">
        <v>250</v>
      </c>
      <c r="MF28" s="669">
        <f>SUM(MF25:MF27)</f>
        <v>139531260.05258948</v>
      </c>
      <c r="MG28" s="670">
        <f>MF28/$MF$34*100</f>
        <v>6.2409715772985406</v>
      </c>
      <c r="MH28" s="671">
        <f>SUM(MH25:MH27)</f>
        <v>139531260.05258948</v>
      </c>
      <c r="MI28" s="670">
        <f>MH28/$MF$34*100</f>
        <v>6.2409715772985406</v>
      </c>
      <c r="MJ28" s="17"/>
      <c r="MK28" s="18"/>
      <c r="ML28" s="17"/>
      <c r="MM28" s="294">
        <f t="shared" ref="MM28:MM32" si="115">MM27+1</f>
        <v>22</v>
      </c>
      <c r="MN28" s="668" t="s">
        <v>250</v>
      </c>
      <c r="MO28" s="672">
        <v>129633933.91392434</v>
      </c>
      <c r="MP28" s="669">
        <f>MP25+MP26+MP27</f>
        <v>139531260.05258948</v>
      </c>
      <c r="MQ28" s="458">
        <f t="shared" si="72"/>
        <v>9897326.1386651397</v>
      </c>
      <c r="MR28" s="313">
        <f t="shared" si="73"/>
        <v>7.634826653673002E-2</v>
      </c>
      <c r="MS28" s="17"/>
      <c r="MT28" s="18"/>
      <c r="MU28" s="17"/>
    </row>
    <row r="29" spans="1:359" x14ac:dyDescent="0.3">
      <c r="AL29" s="437"/>
      <c r="AN29" s="406"/>
      <c r="AS29" s="24"/>
      <c r="AT29" s="308"/>
      <c r="AV29" s="24"/>
      <c r="AW29" s="308"/>
      <c r="AX29" s="309"/>
      <c r="AZ29" s="24"/>
      <c r="BA29" s="308"/>
      <c r="BB29" s="309"/>
      <c r="BD29" s="24"/>
      <c r="BE29" s="308"/>
      <c r="BF29" s="309"/>
      <c r="BH29" s="24"/>
      <c r="BI29" s="308"/>
      <c r="BJ29" s="309"/>
      <c r="BL29" s="24"/>
      <c r="BM29" s="308"/>
      <c r="BN29" s="309"/>
      <c r="BP29" s="24"/>
      <c r="BQ29" s="308"/>
      <c r="BR29" s="309"/>
      <c r="BT29" s="24"/>
      <c r="BU29" s="308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24"/>
      <c r="CH29" s="309"/>
      <c r="CI29" s="309"/>
      <c r="CJ29" s="309"/>
      <c r="CK29" s="309"/>
      <c r="CL29" s="309"/>
      <c r="CM29" s="309"/>
      <c r="FM29" s="294">
        <f t="shared" si="79"/>
        <v>24</v>
      </c>
      <c r="FN29" s="321"/>
      <c r="FO29" s="322" t="s">
        <v>251</v>
      </c>
      <c r="FP29" s="303">
        <v>69567</v>
      </c>
      <c r="FQ29" s="303">
        <v>173853.78</v>
      </c>
      <c r="FR29" s="303">
        <v>19790</v>
      </c>
      <c r="FS29" s="300">
        <f t="shared" si="113"/>
        <v>263210.78000000003</v>
      </c>
      <c r="FT29" s="303">
        <v>0</v>
      </c>
      <c r="FU29" s="303">
        <v>0</v>
      </c>
      <c r="FV29" s="303">
        <v>0</v>
      </c>
      <c r="FW29" s="303">
        <v>0</v>
      </c>
      <c r="FX29" s="303">
        <v>0</v>
      </c>
      <c r="FY29" s="21"/>
      <c r="FZ29" s="375"/>
      <c r="JA29" s="659" t="s">
        <v>252</v>
      </c>
      <c r="JC29" s="309"/>
      <c r="JD29" s="309"/>
      <c r="JE29" s="437"/>
      <c r="JR29" s="660"/>
      <c r="JS29" s="661"/>
      <c r="JT29" s="661"/>
      <c r="JU29" s="661"/>
      <c r="JV29" s="661"/>
      <c r="JW29" s="661"/>
      <c r="JX29" s="661"/>
      <c r="JZ29" s="661"/>
      <c r="KA29" s="673"/>
      <c r="KB29" s="661"/>
      <c r="KC29" s="673"/>
      <c r="KD29" s="673"/>
      <c r="KE29" s="673"/>
      <c r="KF29" s="661"/>
      <c r="KG29" s="661"/>
      <c r="KH29" s="661"/>
      <c r="KI29" s="660"/>
      <c r="KJ29" s="661"/>
      <c r="KP29" s="309"/>
      <c r="KR29" s="309"/>
      <c r="KT29" s="309"/>
      <c r="KU29" s="309"/>
      <c r="KV29" s="309"/>
      <c r="KW29" s="309"/>
      <c r="KX29" s="309"/>
      <c r="KY29" s="309"/>
      <c r="KZ29" s="309"/>
      <c r="LB29" s="309"/>
      <c r="LD29" s="309"/>
      <c r="LF29" s="309"/>
      <c r="LG29" s="616"/>
      <c r="MD29" s="237">
        <f t="shared" si="114"/>
        <v>23</v>
      </c>
      <c r="ME29" s="412" t="s">
        <v>253</v>
      </c>
      <c r="MF29" s="674">
        <f>MF11</f>
        <v>4738400.1899999995</v>
      </c>
      <c r="MG29" s="493">
        <f t="shared" ref="MG29" si="116">MF29/$MF$34*100</f>
        <v>0.21193975383373018</v>
      </c>
      <c r="MH29" s="675">
        <f t="shared" ref="MH29" si="117">MH11</f>
        <v>4738400.1899999995</v>
      </c>
      <c r="MI29" s="493">
        <f t="shared" ref="MI29" si="118">MH29/$MF$34*100</f>
        <v>0.21193975383373018</v>
      </c>
      <c r="MM29" s="237">
        <f t="shared" si="115"/>
        <v>23</v>
      </c>
      <c r="MN29" s="412" t="s">
        <v>253</v>
      </c>
      <c r="MO29" s="676">
        <v>4749598.8</v>
      </c>
      <c r="MP29" s="674">
        <f>MF29</f>
        <v>4738400.1899999995</v>
      </c>
      <c r="MQ29" s="478">
        <f t="shared" si="72"/>
        <v>-11198.610000000335</v>
      </c>
      <c r="MR29" s="361">
        <f t="shared" si="73"/>
        <v>-2.3578012526027114E-3</v>
      </c>
    </row>
    <row r="30" spans="1:359" s="35" customForma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8"/>
      <c r="AE30" s="17"/>
      <c r="AF30" s="17"/>
      <c r="AG30" s="17"/>
      <c r="AH30" s="17"/>
      <c r="AI30" s="17"/>
      <c r="AJ30" s="17"/>
      <c r="AK30" s="17"/>
      <c r="AL30" s="437"/>
      <c r="AM30" s="17"/>
      <c r="AN30" s="406"/>
      <c r="AO30" s="17"/>
      <c r="AP30" s="17"/>
      <c r="AQ30" s="17"/>
      <c r="AR30" s="17"/>
      <c r="AS30" s="24"/>
      <c r="AT30" s="308"/>
      <c r="AU30" s="17"/>
      <c r="AV30" s="24"/>
      <c r="AW30" s="308"/>
      <c r="AX30" s="309"/>
      <c r="AY30" s="17"/>
      <c r="AZ30" s="24"/>
      <c r="BA30" s="308"/>
      <c r="BB30" s="309"/>
      <c r="BC30" s="17"/>
      <c r="BD30" s="24"/>
      <c r="BE30" s="308"/>
      <c r="BF30" s="309"/>
      <c r="BG30" s="17"/>
      <c r="BH30" s="24"/>
      <c r="BI30" s="308"/>
      <c r="BJ30" s="309"/>
      <c r="BK30" s="17"/>
      <c r="BL30" s="24"/>
      <c r="BM30" s="308"/>
      <c r="BN30" s="309"/>
      <c r="BO30" s="17"/>
      <c r="BP30" s="24"/>
      <c r="BQ30" s="308"/>
      <c r="BR30" s="309"/>
      <c r="BS30" s="17"/>
      <c r="BT30" s="24"/>
      <c r="BU30" s="308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24"/>
      <c r="CG30" s="17"/>
      <c r="CH30" s="309"/>
      <c r="CI30" s="309"/>
      <c r="CJ30" s="309"/>
      <c r="CK30" s="309"/>
      <c r="CL30" s="309"/>
      <c r="CM30" s="309"/>
      <c r="CN30" s="17"/>
      <c r="CO30" s="18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8"/>
      <c r="DC30" s="17"/>
      <c r="DD30" s="17"/>
      <c r="DE30" s="17"/>
      <c r="DF30" s="17"/>
      <c r="DG30" s="21"/>
      <c r="DH30" s="17"/>
      <c r="DI30" s="17"/>
      <c r="DJ30" s="17"/>
      <c r="DK30" s="17"/>
      <c r="DL30" s="18"/>
      <c r="DM30" s="17"/>
      <c r="DN30" s="17"/>
      <c r="DO30" s="17"/>
      <c r="DP30" s="17"/>
      <c r="DQ30" s="21"/>
      <c r="DR30" s="17"/>
      <c r="DS30" s="17"/>
      <c r="DT30" s="17"/>
      <c r="DU30" s="18"/>
      <c r="DV30" s="17"/>
      <c r="DW30" s="17"/>
      <c r="DX30" s="22"/>
      <c r="DY30" s="23"/>
      <c r="DZ30" s="23"/>
      <c r="EA30" s="23"/>
      <c r="EB30" s="23"/>
      <c r="EC30" s="17"/>
      <c r="ED30" s="17"/>
      <c r="EE30" s="17"/>
      <c r="EF30" s="17"/>
      <c r="EG30" s="17"/>
      <c r="EH30" s="18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8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8"/>
      <c r="FL30" s="17"/>
      <c r="FM30" s="586">
        <f t="shared" si="79"/>
        <v>25</v>
      </c>
      <c r="FN30" s="655"/>
      <c r="FO30" s="656" t="s">
        <v>254</v>
      </c>
      <c r="FP30" s="657">
        <v>14037.86</v>
      </c>
      <c r="FQ30" s="657">
        <v>121342.35</v>
      </c>
      <c r="FR30" s="657">
        <v>180824.25</v>
      </c>
      <c r="FS30" s="658">
        <f t="shared" si="113"/>
        <v>316204.45999999996</v>
      </c>
      <c r="FT30" s="657">
        <v>14037.86</v>
      </c>
      <c r="FU30" s="657">
        <v>121342.35</v>
      </c>
      <c r="FV30" s="657">
        <v>180824.25</v>
      </c>
      <c r="FW30" s="657">
        <v>316204.45999999996</v>
      </c>
      <c r="FX30" s="657">
        <v>316204.45999999996</v>
      </c>
      <c r="FY30" s="21"/>
      <c r="FZ30" s="375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8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8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8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8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8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660"/>
      <c r="JS30" s="661"/>
      <c r="JT30" s="703"/>
      <c r="JU30" s="703"/>
      <c r="JV30" s="703"/>
      <c r="JW30" s="703"/>
      <c r="JX30" s="703"/>
      <c r="JY30" s="703"/>
      <c r="JZ30" s="703"/>
      <c r="KA30" s="703"/>
      <c r="KB30" s="703"/>
      <c r="KC30" s="703"/>
      <c r="KD30" s="703"/>
      <c r="KE30" s="703"/>
      <c r="KF30" s="703"/>
      <c r="KG30" s="703"/>
      <c r="KH30" s="661"/>
      <c r="KI30" s="660"/>
      <c r="KJ30" s="661"/>
      <c r="KK30" s="234"/>
      <c r="KL30" s="234"/>
      <c r="KM30" s="234"/>
      <c r="KN30" s="234"/>
      <c r="KO30" s="234"/>
      <c r="KP30" s="677"/>
      <c r="KQ30" s="677"/>
      <c r="KR30" s="678"/>
      <c r="KS30" s="234"/>
      <c r="KT30" s="678"/>
      <c r="KU30" s="678"/>
      <c r="KV30" s="234"/>
      <c r="KW30" s="17"/>
      <c r="KX30" s="17"/>
      <c r="KY30" s="17"/>
      <c r="KZ30" s="17"/>
      <c r="LA30" s="21"/>
      <c r="LB30" s="17"/>
      <c r="LC30" s="17"/>
      <c r="LD30" s="17"/>
      <c r="LE30" s="17"/>
      <c r="LF30" s="17"/>
      <c r="LG30" s="616"/>
      <c r="LH30" s="18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8"/>
      <c r="LW30" s="17"/>
      <c r="LX30" s="17"/>
      <c r="LY30" s="17"/>
      <c r="LZ30" s="17"/>
      <c r="MA30" s="17"/>
      <c r="MB30" s="18"/>
      <c r="MC30" s="17"/>
      <c r="MD30" s="294">
        <f t="shared" si="114"/>
        <v>24</v>
      </c>
      <c r="ME30" s="668" t="s">
        <v>255</v>
      </c>
      <c r="MF30" s="669">
        <f>MF28-MF29</f>
        <v>134792859.86258948</v>
      </c>
      <c r="MG30" s="670">
        <f>MF30/$MF$34*100</f>
        <v>6.0290318234648099</v>
      </c>
      <c r="MH30" s="671">
        <f>MH28-MH29</f>
        <v>134792859.86258948</v>
      </c>
      <c r="MI30" s="670">
        <f>MH30/$MF$34*100</f>
        <v>6.0290318234648099</v>
      </c>
      <c r="MJ30" s="17"/>
      <c r="MK30" s="18"/>
      <c r="ML30" s="17"/>
      <c r="MM30" s="294">
        <f t="shared" si="115"/>
        <v>24</v>
      </c>
      <c r="MN30" s="668" t="s">
        <v>255</v>
      </c>
      <c r="MO30" s="672">
        <v>124884335.11392434</v>
      </c>
      <c r="MP30" s="669">
        <f>MF30</f>
        <v>134792859.86258948</v>
      </c>
      <c r="MQ30" s="458">
        <f t="shared" si="72"/>
        <v>9908524.7486651391</v>
      </c>
      <c r="MR30" s="313">
        <f t="shared" si="73"/>
        <v>7.9341614299553248E-2</v>
      </c>
      <c r="MS30" s="17"/>
      <c r="MT30" s="18"/>
      <c r="MU30" s="17"/>
    </row>
    <row r="31" spans="1:359" ht="16.5" customHeight="1" x14ac:dyDescent="0.3">
      <c r="P31" s="679"/>
      <c r="Q31" s="679"/>
      <c r="R31" s="679"/>
      <c r="AL31" s="437"/>
      <c r="AN31" s="582"/>
      <c r="AO31" s="583"/>
      <c r="AQ31" s="20"/>
      <c r="AT31" s="584"/>
      <c r="AU31" s="20"/>
      <c r="AW31" s="584"/>
      <c r="AX31" s="584"/>
      <c r="AY31" s="20"/>
      <c r="BA31" s="584"/>
      <c r="BB31" s="584"/>
      <c r="BC31" s="20"/>
      <c r="BE31" s="584"/>
      <c r="BF31" s="584"/>
      <c r="BG31" s="20"/>
      <c r="BI31" s="584"/>
      <c r="BJ31" s="584"/>
      <c r="BK31" s="20"/>
      <c r="BM31" s="584"/>
      <c r="BN31" s="584"/>
      <c r="BO31" s="20"/>
      <c r="BQ31" s="584"/>
      <c r="BR31" s="584"/>
      <c r="BS31" s="20"/>
      <c r="BU31" s="584"/>
      <c r="BV31" s="584"/>
      <c r="BW31" s="584"/>
      <c r="BX31" s="584"/>
      <c r="BY31" s="584"/>
      <c r="BZ31" s="584"/>
      <c r="CA31" s="584"/>
      <c r="CB31" s="584"/>
      <c r="CC31" s="584"/>
      <c r="CD31" s="584"/>
      <c r="CE31" s="584"/>
      <c r="CG31" s="584"/>
      <c r="CH31" s="584"/>
      <c r="CI31" s="584"/>
      <c r="CJ31" s="584"/>
      <c r="CK31" s="584"/>
      <c r="CL31" s="584"/>
      <c r="CM31" s="584"/>
      <c r="FM31" s="294">
        <f t="shared" si="79"/>
        <v>26</v>
      </c>
      <c r="FN31" s="321"/>
      <c r="FO31" s="322" t="s">
        <v>256</v>
      </c>
      <c r="FP31" s="303">
        <v>264427.92949999997</v>
      </c>
      <c r="FQ31" s="303">
        <v>297615.01999999996</v>
      </c>
      <c r="FR31" s="303">
        <v>174342.09999999998</v>
      </c>
      <c r="FS31" s="300">
        <f t="shared" si="113"/>
        <v>736385.04949999996</v>
      </c>
      <c r="FT31" s="303">
        <v>265189.74196666665</v>
      </c>
      <c r="FU31" s="303">
        <v>297615.01999999996</v>
      </c>
      <c r="FV31" s="303">
        <v>174342.09999999998</v>
      </c>
      <c r="FW31" s="303">
        <v>737146.86196666653</v>
      </c>
      <c r="FX31" s="303">
        <v>737146.86196666653</v>
      </c>
      <c r="FY31" s="21"/>
      <c r="FZ31" s="375"/>
      <c r="IN31" s="17"/>
      <c r="IP31" s="17"/>
      <c r="JT31" s="703"/>
      <c r="JU31" s="703"/>
      <c r="JV31" s="703"/>
      <c r="JW31" s="703"/>
      <c r="JX31" s="703"/>
      <c r="JY31" s="703"/>
      <c r="JZ31" s="703"/>
      <c r="KA31" s="703"/>
      <c r="KB31" s="703"/>
      <c r="KC31" s="703"/>
      <c r="KD31" s="703"/>
      <c r="KE31" s="703"/>
      <c r="KF31" s="703"/>
      <c r="KG31" s="703"/>
      <c r="KR31" s="17"/>
      <c r="KT31" s="17"/>
      <c r="KU31" s="17"/>
      <c r="LG31" s="616"/>
      <c r="MD31" s="237">
        <f t="shared" si="114"/>
        <v>25</v>
      </c>
      <c r="ME31" s="651" t="s">
        <v>257</v>
      </c>
      <c r="MF31" s="651">
        <f>'Phase I Schedules'!JY26+'Phase I Schedules'!KC26+MF11</f>
        <v>131646158.88875991</v>
      </c>
      <c r="MG31" s="652">
        <f>MF31/$MF$34*100</f>
        <v>5.8882857904072274</v>
      </c>
      <c r="MH31" s="653"/>
      <c r="MI31" s="681"/>
      <c r="MM31" s="461">
        <f>MM30+1</f>
        <v>25</v>
      </c>
      <c r="MN31" s="651" t="str">
        <f>ME31</f>
        <v>Total Revenue at Current Rates</v>
      </c>
      <c r="MO31" s="654">
        <v>113922778.03156425</v>
      </c>
      <c r="MP31" s="651">
        <f>MF31</f>
        <v>131646158.88875991</v>
      </c>
      <c r="MQ31" s="651">
        <f t="shared" si="72"/>
        <v>17723380.85719566</v>
      </c>
      <c r="MR31" s="581">
        <f t="shared" si="73"/>
        <v>0.15557363648808753</v>
      </c>
    </row>
    <row r="32" spans="1:359" x14ac:dyDescent="0.3">
      <c r="AL32" s="437"/>
      <c r="AN32" s="406"/>
      <c r="AT32" s="682"/>
      <c r="AW32" s="682"/>
      <c r="AX32" s="309"/>
      <c r="BA32" s="682"/>
      <c r="BB32" s="309"/>
      <c r="BE32" s="682"/>
      <c r="BF32" s="309"/>
      <c r="BI32" s="682"/>
      <c r="BJ32" s="309"/>
      <c r="BM32" s="682"/>
      <c r="BN32" s="309"/>
      <c r="BQ32" s="682"/>
      <c r="BR32" s="309"/>
      <c r="BU32" s="682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G32" s="682"/>
      <c r="CH32" s="309"/>
      <c r="CI32" s="309"/>
      <c r="CJ32" s="309"/>
      <c r="CK32" s="309"/>
      <c r="CL32" s="309"/>
      <c r="CM32" s="309"/>
      <c r="FM32" s="683">
        <f t="shared" si="79"/>
        <v>27</v>
      </c>
      <c r="FN32" s="684"/>
      <c r="FO32" s="685" t="s">
        <v>224</v>
      </c>
      <c r="FP32" s="686">
        <f>SUM(FP27:FP31)</f>
        <v>394260.8395</v>
      </c>
      <c r="FQ32" s="686">
        <f>SUM(FQ27:FQ31)</f>
        <v>749315.3899999999</v>
      </c>
      <c r="FR32" s="686">
        <f>SUM(FR27:FR31)</f>
        <v>496379.5</v>
      </c>
      <c r="FS32" s="687">
        <f t="shared" si="113"/>
        <v>1639955.7294999999</v>
      </c>
      <c r="FT32" s="686">
        <v>325455.65196666669</v>
      </c>
      <c r="FU32" s="686">
        <v>575461.60999999987</v>
      </c>
      <c r="FV32" s="686">
        <v>476589.49999999994</v>
      </c>
      <c r="FW32" s="686">
        <v>1377506.7619666664</v>
      </c>
      <c r="FX32" s="686">
        <v>1308128.6939410139</v>
      </c>
      <c r="FY32" s="21"/>
      <c r="FZ32" s="375"/>
      <c r="IN32" s="17"/>
      <c r="IP32" s="17"/>
      <c r="JS32" s="234"/>
      <c r="JT32" s="703"/>
      <c r="JU32" s="703"/>
      <c r="JV32" s="703"/>
      <c r="JW32" s="703"/>
      <c r="JX32" s="703"/>
      <c r="JY32" s="703"/>
      <c r="JZ32" s="703"/>
      <c r="KA32" s="703"/>
      <c r="KB32" s="703"/>
      <c r="KC32" s="703"/>
      <c r="KD32" s="703"/>
      <c r="KE32" s="703"/>
      <c r="KF32" s="703"/>
      <c r="KG32" s="703"/>
      <c r="KH32" s="234"/>
      <c r="KI32" s="688"/>
      <c r="KJ32" s="234"/>
      <c r="KR32" s="17"/>
      <c r="KT32" s="17"/>
      <c r="KU32" s="17"/>
      <c r="LG32" s="309"/>
      <c r="MD32" s="414">
        <f>MD31+1</f>
        <v>26</v>
      </c>
      <c r="ME32" s="689" t="s">
        <v>258</v>
      </c>
      <c r="MF32" s="689">
        <f>MF30/MF9-1</f>
        <v>6.8044619262611405E-2</v>
      </c>
      <c r="MG32" s="689"/>
      <c r="MH32" s="690">
        <f>(MH9)/MH30-1</f>
        <v>0</v>
      </c>
      <c r="MI32" s="689"/>
      <c r="MM32" s="414">
        <f t="shared" si="115"/>
        <v>26</v>
      </c>
      <c r="MN32" s="689" t="str">
        <f>ME32</f>
        <v>Proposed Rate Increase</v>
      </c>
      <c r="MO32" s="691">
        <v>0.14743652719872169</v>
      </c>
      <c r="MP32" s="689">
        <f>MF32</f>
        <v>6.8044619262611405E-2</v>
      </c>
      <c r="MQ32" s="689">
        <f t="shared" si="72"/>
        <v>-7.9391907936110284E-2</v>
      </c>
      <c r="MR32" s="692"/>
    </row>
    <row r="33" spans="38:356" ht="17.100000000000001" customHeight="1" x14ac:dyDescent="0.3">
      <c r="AL33" s="437"/>
      <c r="AN33" s="406"/>
      <c r="AT33" s="682"/>
      <c r="AW33" s="682"/>
      <c r="AX33" s="309"/>
      <c r="BA33" s="682"/>
      <c r="BB33" s="309"/>
      <c r="BE33" s="682"/>
      <c r="BF33" s="309"/>
      <c r="BI33" s="682"/>
      <c r="BJ33" s="309"/>
      <c r="BM33" s="682"/>
      <c r="BN33" s="309"/>
      <c r="BQ33" s="682"/>
      <c r="BR33" s="309"/>
      <c r="BU33" s="682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G33" s="682"/>
      <c r="CH33" s="309"/>
      <c r="CI33" s="309"/>
      <c r="CJ33" s="309"/>
      <c r="CK33" s="309"/>
      <c r="CL33" s="309"/>
      <c r="CM33" s="309"/>
      <c r="EH33" s="693"/>
      <c r="FM33" s="294">
        <f t="shared" si="79"/>
        <v>28</v>
      </c>
      <c r="FN33" s="450" t="s">
        <v>259</v>
      </c>
      <c r="FO33" s="451"/>
      <c r="FP33" s="491"/>
      <c r="FQ33" s="491"/>
      <c r="FR33" s="491"/>
      <c r="FS33" s="492"/>
      <c r="FT33" s="491"/>
      <c r="FU33" s="491"/>
      <c r="FV33" s="491"/>
      <c r="FW33" s="491"/>
      <c r="FX33" s="491"/>
      <c r="FZ33" s="375"/>
      <c r="IN33" s="17"/>
      <c r="IP33" s="17"/>
      <c r="JR33" s="694"/>
      <c r="JS33" s="695"/>
      <c r="JT33" s="703"/>
      <c r="JU33" s="703"/>
      <c r="JV33" s="703"/>
      <c r="JW33" s="703"/>
      <c r="JX33" s="703"/>
      <c r="JY33" s="703"/>
      <c r="JZ33" s="703"/>
      <c r="KA33" s="703"/>
      <c r="KB33" s="703"/>
      <c r="KC33" s="703"/>
      <c r="KD33" s="703"/>
      <c r="KE33" s="703"/>
      <c r="KF33" s="703"/>
      <c r="KG33" s="703"/>
      <c r="KH33" s="695"/>
      <c r="KI33" s="694"/>
      <c r="KJ33" s="695"/>
      <c r="KR33" s="17"/>
      <c r="KT33" s="17"/>
      <c r="KU33" s="17"/>
      <c r="MD33" s="512" t="s">
        <v>226</v>
      </c>
      <c r="ME33" s="512"/>
      <c r="MF33" s="512"/>
      <c r="MG33" s="512"/>
      <c r="MH33" s="512"/>
      <c r="MI33" s="512"/>
      <c r="MM33" s="512" t="s">
        <v>226</v>
      </c>
      <c r="MN33" s="434"/>
      <c r="MO33" s="434"/>
      <c r="MP33" s="434"/>
      <c r="MQ33" s="696"/>
      <c r="MR33" s="696"/>
    </row>
    <row r="34" spans="38:356" ht="17.850000000000001" customHeight="1" x14ac:dyDescent="0.3">
      <c r="AL34" s="437"/>
      <c r="AN34" s="406"/>
      <c r="AT34" s="682"/>
      <c r="AW34" s="682"/>
      <c r="AX34" s="309"/>
      <c r="BA34" s="682"/>
      <c r="BB34" s="309"/>
      <c r="BE34" s="682"/>
      <c r="BF34" s="309"/>
      <c r="BI34" s="682"/>
      <c r="BJ34" s="309"/>
      <c r="BM34" s="682"/>
      <c r="BN34" s="309"/>
      <c r="BQ34" s="682"/>
      <c r="BR34" s="309"/>
      <c r="BU34" s="682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G34" s="682"/>
      <c r="CH34" s="309"/>
      <c r="CI34" s="309"/>
      <c r="CJ34" s="309"/>
      <c r="CK34" s="309"/>
      <c r="CL34" s="309"/>
      <c r="CM34" s="309"/>
      <c r="FM34" s="586">
        <f t="shared" si="79"/>
        <v>29</v>
      </c>
      <c r="FN34" s="655"/>
      <c r="FO34" s="656" t="s">
        <v>260</v>
      </c>
      <c r="FP34" s="657">
        <v>24802.720000000001</v>
      </c>
      <c r="FQ34" s="657">
        <v>101294.51</v>
      </c>
      <c r="FR34" s="657">
        <v>943541.99</v>
      </c>
      <c r="FS34" s="658">
        <f>FP34+FR34+FQ34</f>
        <v>1069639.22</v>
      </c>
      <c r="FT34" s="657">
        <v>24802.720000000001</v>
      </c>
      <c r="FU34" s="657">
        <v>101294.51</v>
      </c>
      <c r="FV34" s="657">
        <v>943541.99</v>
      </c>
      <c r="FW34" s="657">
        <v>1069639.22</v>
      </c>
      <c r="FX34" s="657">
        <v>840459.92465503607</v>
      </c>
      <c r="FY34" s="21"/>
      <c r="FZ34" s="375"/>
      <c r="IN34" s="17"/>
      <c r="IP34" s="17"/>
      <c r="JR34" s="91"/>
      <c r="JS34" s="30"/>
      <c r="JT34" s="30"/>
      <c r="JU34" s="30"/>
      <c r="JV34" s="30"/>
      <c r="JW34" s="30"/>
      <c r="JX34" s="30"/>
      <c r="JZ34" s="661"/>
      <c r="KA34" s="661"/>
      <c r="KB34" s="661"/>
      <c r="KC34" s="661"/>
      <c r="KD34" s="661"/>
      <c r="KE34" s="661"/>
      <c r="KF34" s="30"/>
      <c r="KG34" s="30"/>
      <c r="KH34" s="30"/>
      <c r="KI34" s="31"/>
      <c r="KJ34" s="30"/>
      <c r="KR34" s="17"/>
      <c r="KT34" s="17"/>
      <c r="KU34" s="17"/>
      <c r="MD34" s="237">
        <f>MD32+1</f>
        <v>27</v>
      </c>
      <c r="ME34" s="697" t="s">
        <v>119</v>
      </c>
      <c r="MF34" s="698">
        <f>JL26</f>
        <v>2235729779</v>
      </c>
      <c r="MG34" s="698"/>
      <c r="MH34" s="700"/>
      <c r="MI34" s="699">
        <f>MF34</f>
        <v>2235729779</v>
      </c>
      <c r="MM34" s="237">
        <f>MM32+1</f>
        <v>27</v>
      </c>
      <c r="MN34" s="697" t="str">
        <f>ME34</f>
        <v>Target Year Volume</v>
      </c>
      <c r="MO34" s="701">
        <v>2195120047</v>
      </c>
      <c r="MP34" s="699">
        <f>MF34</f>
        <v>2235729779</v>
      </c>
      <c r="MQ34" s="699"/>
      <c r="MR34" s="702"/>
    </row>
    <row r="35" spans="38:356" ht="17.25" thickBot="1" x14ac:dyDescent="0.35">
      <c r="AL35" s="437"/>
      <c r="AN35" s="406"/>
      <c r="AT35" s="682"/>
      <c r="AW35" s="682"/>
      <c r="AX35" s="309"/>
      <c r="BA35" s="682"/>
      <c r="BB35" s="309"/>
      <c r="BE35" s="682"/>
      <c r="BF35" s="309"/>
      <c r="BI35" s="682"/>
      <c r="BJ35" s="309"/>
      <c r="BM35" s="682"/>
      <c r="BN35" s="309"/>
      <c r="BQ35" s="682"/>
      <c r="BR35" s="309"/>
      <c r="BU35" s="682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G35" s="682"/>
      <c r="CH35" s="309"/>
      <c r="CI35" s="309"/>
      <c r="CJ35" s="309"/>
      <c r="CK35" s="309"/>
      <c r="CL35" s="309"/>
      <c r="CM35" s="309"/>
      <c r="FM35" s="294">
        <f t="shared" si="79"/>
        <v>30</v>
      </c>
      <c r="FN35" s="321"/>
      <c r="FO35" s="322" t="s">
        <v>261</v>
      </c>
      <c r="FP35" s="303">
        <v>84212.61</v>
      </c>
      <c r="FQ35" s="303">
        <v>133351.71000000002</v>
      </c>
      <c r="FR35" s="303">
        <v>790170.63419999997</v>
      </c>
      <c r="FS35" s="300">
        <f>FP35+FR35+FQ35</f>
        <v>1007734.9542</v>
      </c>
      <c r="FT35" s="303">
        <v>83812.61</v>
      </c>
      <c r="FU35" s="303">
        <v>133351.71000000002</v>
      </c>
      <c r="FV35" s="303">
        <v>772756.97419999994</v>
      </c>
      <c r="FW35" s="303">
        <v>989921.2942</v>
      </c>
      <c r="FX35" s="303">
        <v>989921.2942</v>
      </c>
      <c r="FZ35" s="375"/>
      <c r="IN35" s="17"/>
      <c r="IP35" s="17"/>
      <c r="JS35" s="234"/>
      <c r="JT35" s="234"/>
      <c r="JU35" s="234"/>
      <c r="JV35" s="234"/>
      <c r="JW35" s="234"/>
      <c r="JX35" s="234"/>
      <c r="JZ35" s="661"/>
      <c r="KA35" s="661"/>
      <c r="KB35" s="661"/>
      <c r="KC35" s="661"/>
      <c r="KD35" s="661"/>
      <c r="KE35" s="661"/>
      <c r="KF35" s="234"/>
      <c r="KG35" s="234"/>
      <c r="KH35" s="234"/>
      <c r="KI35" s="688"/>
      <c r="KJ35" s="234"/>
      <c r="KR35" s="17"/>
      <c r="KT35" s="17"/>
      <c r="KU35" s="17"/>
      <c r="MD35" s="389">
        <f>MD34+1</f>
        <v>28</v>
      </c>
      <c r="ME35" s="704" t="s">
        <v>233</v>
      </c>
      <c r="MF35" s="705">
        <f>JJ26</f>
        <v>220</v>
      </c>
      <c r="MG35" s="705"/>
      <c r="MH35" s="707"/>
      <c r="MI35" s="706">
        <f>MF35</f>
        <v>220</v>
      </c>
      <c r="MM35" s="389">
        <f>MM34+1</f>
        <v>28</v>
      </c>
      <c r="MN35" s="704" t="str">
        <f>ME35</f>
        <v>Number of Depots</v>
      </c>
      <c r="MO35" s="708">
        <v>219</v>
      </c>
      <c r="MP35" s="706">
        <f>MF35</f>
        <v>220</v>
      </c>
      <c r="MQ35" s="709"/>
      <c r="MR35" s="710"/>
    </row>
    <row r="36" spans="38:356" x14ac:dyDescent="0.3">
      <c r="AN36" s="582"/>
      <c r="FM36" s="711">
        <f t="shared" si="79"/>
        <v>31</v>
      </c>
      <c r="FN36" s="712"/>
      <c r="FO36" s="713" t="s">
        <v>224</v>
      </c>
      <c r="FP36" s="686">
        <f>SUM(FP34:FP35)</f>
        <v>109015.33</v>
      </c>
      <c r="FQ36" s="686">
        <f>SUM(FQ34:FQ35)</f>
        <v>234646.22000000003</v>
      </c>
      <c r="FR36" s="686">
        <f>SUM(FR34:FR35)</f>
        <v>1733712.6242</v>
      </c>
      <c r="FS36" s="687">
        <f>FP36+FR36+FQ36</f>
        <v>2077374.1742</v>
      </c>
      <c r="FT36" s="686">
        <v>108615.33</v>
      </c>
      <c r="FU36" s="686">
        <v>234646.22000000003</v>
      </c>
      <c r="FV36" s="686">
        <v>1716298.9641999998</v>
      </c>
      <c r="FW36" s="686">
        <v>2059560.5142000001</v>
      </c>
      <c r="FX36" s="686">
        <v>1830381.218855036</v>
      </c>
      <c r="FZ36" s="375"/>
      <c r="IN36" s="17"/>
      <c r="IP36" s="17"/>
      <c r="JR36" s="714"/>
      <c r="JS36" s="703"/>
      <c r="JT36" s="703"/>
      <c r="JU36" s="703"/>
      <c r="JV36" s="703"/>
      <c r="JW36" s="703"/>
      <c r="JX36" s="703"/>
      <c r="JZ36" s="661"/>
      <c r="KA36" s="661"/>
      <c r="KB36" s="661"/>
      <c r="KC36" s="661"/>
      <c r="KD36" s="661"/>
      <c r="KE36" s="661"/>
      <c r="KF36" s="703"/>
      <c r="KG36" s="703"/>
      <c r="KH36" s="703"/>
      <c r="KI36" s="715"/>
      <c r="KJ36" s="703"/>
      <c r="KK36" s="234"/>
      <c r="KR36" s="17"/>
      <c r="KT36" s="17"/>
      <c r="KU36" s="17"/>
    </row>
    <row r="37" spans="38:356" ht="15.75" customHeight="1" thickBot="1" x14ac:dyDescent="0.35">
      <c r="AL37" s="437"/>
      <c r="AN37" s="406"/>
      <c r="AP37" s="716"/>
      <c r="AQ37" s="20"/>
      <c r="AT37" s="282"/>
      <c r="AV37" s="717"/>
      <c r="AW37" s="282"/>
      <c r="AX37" s="309"/>
      <c r="AZ37" s="717"/>
      <c r="BA37" s="282"/>
      <c r="BB37" s="309"/>
      <c r="BD37" s="717"/>
      <c r="BE37" s="282"/>
      <c r="BF37" s="309"/>
      <c r="BH37" s="717"/>
      <c r="BI37" s="282"/>
      <c r="BJ37" s="309"/>
      <c r="BL37" s="717"/>
      <c r="BM37" s="282"/>
      <c r="BN37" s="309"/>
      <c r="BP37" s="717"/>
      <c r="BQ37" s="282"/>
      <c r="BR37" s="309"/>
      <c r="BT37" s="717"/>
      <c r="BU37" s="282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717"/>
      <c r="CG37" s="282"/>
      <c r="CH37" s="309"/>
      <c r="CI37" s="309"/>
      <c r="CJ37" s="309"/>
      <c r="CK37" s="309"/>
      <c r="CL37" s="309"/>
      <c r="CM37" s="309"/>
      <c r="FM37" s="389">
        <f t="shared" si="79"/>
        <v>32</v>
      </c>
      <c r="FN37" s="718"/>
      <c r="FO37" s="390" t="s">
        <v>72</v>
      </c>
      <c r="FP37" s="401">
        <f>FP20+FP25+FP32+FP36</f>
        <v>2209519.102</v>
      </c>
      <c r="FQ37" s="401">
        <f>FQ20+FQ25+FQ32+FQ36</f>
        <v>3804241.9721000004</v>
      </c>
      <c r="FR37" s="401">
        <f>FR20+FR25+FR32+FR36</f>
        <v>7253822.3105999995</v>
      </c>
      <c r="FS37" s="402">
        <f>FP37+FR37+FQ37</f>
        <v>13267583.3847</v>
      </c>
      <c r="FT37" s="401">
        <v>2150706.4101999998</v>
      </c>
      <c r="FU37" s="401">
        <v>3479046.8021000004</v>
      </c>
      <c r="FV37" s="401">
        <v>7181484.0810666662</v>
      </c>
      <c r="FW37" s="401">
        <v>12811237.293366665</v>
      </c>
      <c r="FX37" s="401">
        <v>12512679.929996049</v>
      </c>
      <c r="IN37" s="17"/>
      <c r="IP37" s="17"/>
      <c r="JR37" s="714"/>
      <c r="JS37" s="703"/>
      <c r="JT37" s="703"/>
      <c r="JU37" s="703"/>
      <c r="JV37" s="703"/>
      <c r="JW37" s="703"/>
      <c r="JX37" s="703"/>
      <c r="JZ37" s="661"/>
      <c r="KA37" s="661"/>
      <c r="KB37" s="661"/>
      <c r="KC37" s="661"/>
      <c r="KD37" s="661"/>
      <c r="KE37" s="661"/>
      <c r="KF37" s="703"/>
      <c r="KG37" s="703"/>
      <c r="KH37" s="703"/>
      <c r="KI37" s="715"/>
      <c r="KJ37" s="703"/>
      <c r="KK37" s="234"/>
      <c r="KR37" s="17"/>
      <c r="KT37" s="17"/>
      <c r="KU37" s="17"/>
      <c r="MF37" s="23"/>
      <c r="MG37" s="23"/>
      <c r="MH37" s="23"/>
      <c r="MI37" s="23"/>
    </row>
    <row r="38" spans="38:356" x14ac:dyDescent="0.3">
      <c r="AL38" s="437"/>
      <c r="AN38" s="406"/>
      <c r="AQ38" s="20"/>
      <c r="BU38" s="305"/>
      <c r="CG38" s="305"/>
      <c r="FZ38" s="375"/>
      <c r="IN38" s="17"/>
      <c r="IP38" s="17"/>
      <c r="JR38" s="714"/>
      <c r="JS38" s="703"/>
      <c r="JT38" s="703"/>
      <c r="JU38" s="703"/>
      <c r="JV38" s="703"/>
      <c r="JW38" s="703"/>
      <c r="JX38" s="703"/>
      <c r="JZ38" s="661"/>
      <c r="KA38" s="661"/>
      <c r="KB38" s="661"/>
      <c r="KC38" s="661"/>
      <c r="KD38" s="661"/>
      <c r="KE38" s="661"/>
      <c r="KF38" s="703"/>
      <c r="KG38" s="703"/>
      <c r="KH38" s="703"/>
      <c r="KI38" s="715"/>
      <c r="KJ38" s="703"/>
      <c r="KR38" s="17"/>
      <c r="KT38" s="17"/>
      <c r="KU38" s="17"/>
      <c r="MF38" s="23"/>
      <c r="MG38" s="23"/>
      <c r="MH38" s="23"/>
      <c r="MI38" s="23"/>
    </row>
    <row r="39" spans="38:356" x14ac:dyDescent="0.3">
      <c r="IN39" s="17"/>
      <c r="IP39" s="17"/>
      <c r="JR39" s="714"/>
      <c r="JS39" s="703"/>
      <c r="JT39" s="703"/>
      <c r="JU39" s="703"/>
      <c r="JV39" s="703"/>
      <c r="JW39" s="703"/>
      <c r="JX39" s="703"/>
      <c r="JZ39" s="661"/>
      <c r="KA39" s="661"/>
      <c r="KB39" s="661"/>
      <c r="KC39" s="661"/>
      <c r="KD39" s="661"/>
      <c r="KE39" s="661"/>
      <c r="KF39" s="703"/>
      <c r="KG39" s="703"/>
      <c r="KH39" s="703"/>
      <c r="KI39" s="715"/>
      <c r="KJ39" s="703"/>
      <c r="KR39" s="17"/>
      <c r="KT39" s="17"/>
      <c r="KU39" s="17"/>
      <c r="LN39" s="719"/>
      <c r="LO39" s="719"/>
      <c r="LP39" s="719"/>
      <c r="LQ39" s="719"/>
      <c r="MF39" s="23"/>
      <c r="MG39" s="23"/>
      <c r="MH39" s="23"/>
      <c r="MI39" s="23"/>
    </row>
    <row r="40" spans="38:356" x14ac:dyDescent="0.3">
      <c r="AL40" s="437"/>
      <c r="IN40" s="17"/>
      <c r="IP40" s="17"/>
      <c r="JZ40" s="661"/>
      <c r="KA40" s="661"/>
      <c r="KB40" s="661"/>
      <c r="KC40" s="661"/>
      <c r="KD40" s="661"/>
      <c r="KE40" s="661"/>
      <c r="KR40" s="17"/>
      <c r="KT40" s="17"/>
      <c r="KU40" s="17"/>
      <c r="LN40" s="719"/>
      <c r="LO40" s="719"/>
      <c r="LP40" s="719"/>
      <c r="LQ40" s="719"/>
      <c r="MF40" s="23"/>
      <c r="MG40" s="23"/>
      <c r="MH40" s="23"/>
      <c r="MI40" s="23"/>
    </row>
    <row r="41" spans="38:356" x14ac:dyDescent="0.3">
      <c r="AL41" s="721"/>
      <c r="IN41" s="17"/>
      <c r="IP41" s="17"/>
      <c r="JZ41" s="661"/>
      <c r="KA41" s="661"/>
      <c r="KB41" s="661"/>
      <c r="KC41" s="661"/>
      <c r="KD41" s="661"/>
      <c r="KE41" s="661"/>
      <c r="KR41" s="17"/>
      <c r="KT41" s="17"/>
      <c r="KU41" s="17"/>
      <c r="LN41" s="719"/>
      <c r="LO41" s="722"/>
      <c r="LP41" s="723"/>
      <c r="LQ41" s="724"/>
      <c r="MF41" s="23"/>
      <c r="MG41" s="23"/>
      <c r="MH41" s="23"/>
      <c r="MI41" s="23"/>
    </row>
    <row r="42" spans="38:356" x14ac:dyDescent="0.3">
      <c r="AL42" s="437"/>
      <c r="IN42" s="17"/>
      <c r="IP42" s="17"/>
      <c r="JZ42" s="661"/>
      <c r="KA42" s="661"/>
      <c r="KB42" s="661"/>
      <c r="KC42" s="661"/>
      <c r="KD42" s="661"/>
      <c r="KE42" s="661"/>
      <c r="KR42" s="17"/>
      <c r="KT42" s="17"/>
      <c r="KU42" s="17"/>
      <c r="LN42" s="719"/>
      <c r="LO42" s="723"/>
      <c r="LP42" s="723"/>
      <c r="LQ42" s="724"/>
      <c r="MF42" s="23"/>
      <c r="MG42" s="23"/>
      <c r="MH42" s="23"/>
      <c r="MI42" s="23"/>
    </row>
    <row r="43" spans="38:356" x14ac:dyDescent="0.3">
      <c r="IN43" s="17"/>
      <c r="IP43" s="17"/>
      <c r="JZ43" s="661"/>
      <c r="KA43" s="661"/>
      <c r="KB43" s="661"/>
      <c r="KC43" s="661"/>
      <c r="KD43" s="661"/>
      <c r="KE43" s="661"/>
      <c r="KR43" s="17"/>
      <c r="KT43" s="17"/>
      <c r="KU43" s="17"/>
      <c r="LN43" s="719"/>
      <c r="LO43" s="722"/>
      <c r="LP43" s="722"/>
      <c r="LQ43" s="724"/>
      <c r="MF43" s="23"/>
      <c r="MG43" s="23"/>
      <c r="MH43" s="23"/>
      <c r="MI43" s="23"/>
    </row>
    <row r="44" spans="38:356" x14ac:dyDescent="0.3">
      <c r="IN44" s="17"/>
      <c r="IP44" s="17"/>
      <c r="JZ44" s="661"/>
      <c r="KA44" s="661"/>
      <c r="KB44" s="661"/>
      <c r="KC44" s="661"/>
      <c r="KD44" s="661"/>
      <c r="KE44" s="661"/>
      <c r="KR44" s="17"/>
      <c r="KT44" s="17"/>
      <c r="KU44" s="17"/>
      <c r="LN44" s="719"/>
      <c r="LO44" s="719"/>
      <c r="LP44" s="719"/>
      <c r="LQ44" s="724"/>
      <c r="MF44" s="23"/>
      <c r="MG44" s="23"/>
      <c r="MH44" s="23"/>
      <c r="MI44" s="23"/>
      <c r="MN44" s="42"/>
    </row>
    <row r="45" spans="38:356" x14ac:dyDescent="0.3">
      <c r="IN45" s="17"/>
      <c r="IP45" s="17"/>
      <c r="JZ45" s="661"/>
      <c r="KA45" s="661"/>
      <c r="KB45" s="661"/>
      <c r="KC45" s="661"/>
      <c r="KD45" s="661"/>
      <c r="KE45" s="661"/>
      <c r="LN45" s="719"/>
      <c r="LO45" s="719"/>
      <c r="LP45" s="719"/>
      <c r="LQ45" s="719"/>
      <c r="MF45" s="23"/>
      <c r="MG45" s="23"/>
      <c r="MH45" s="23"/>
      <c r="MI45" s="23"/>
    </row>
    <row r="46" spans="38:356" x14ac:dyDescent="0.3">
      <c r="IN46" s="17"/>
      <c r="IP46" s="17"/>
      <c r="JZ46" s="661"/>
      <c r="KA46" s="661"/>
      <c r="KB46" s="661"/>
      <c r="KC46" s="661"/>
      <c r="KD46" s="661"/>
      <c r="KE46" s="661"/>
      <c r="MD46" s="720"/>
      <c r="MF46" s="303"/>
      <c r="MG46" s="303"/>
      <c r="MH46" s="303"/>
      <c r="MN46" s="42"/>
    </row>
    <row r="47" spans="38:356" x14ac:dyDescent="0.3">
      <c r="JZ47" s="661"/>
      <c r="KA47" s="661"/>
      <c r="KB47" s="661"/>
      <c r="KC47" s="661"/>
      <c r="KD47" s="661"/>
      <c r="KE47" s="661"/>
      <c r="MF47" s="303"/>
      <c r="MG47" s="725"/>
      <c r="MO47" s="616"/>
    </row>
    <row r="48" spans="38:356" x14ac:dyDescent="0.3">
      <c r="JZ48" s="661"/>
      <c r="KA48" s="661"/>
      <c r="KB48" s="661"/>
      <c r="KC48" s="661"/>
      <c r="KD48" s="661"/>
      <c r="KE48" s="661"/>
      <c r="MF48" s="726"/>
      <c r="MG48" s="727"/>
      <c r="MM48" s="13"/>
      <c r="MO48" s="616"/>
    </row>
    <row r="49" spans="286:359" x14ac:dyDescent="0.3">
      <c r="JZ49" s="661"/>
      <c r="KA49" s="661"/>
      <c r="KB49" s="661"/>
      <c r="KC49" s="661"/>
      <c r="KD49" s="661"/>
      <c r="KE49" s="661"/>
      <c r="MF49" s="303"/>
      <c r="MG49" s="725"/>
      <c r="MO49" s="616"/>
    </row>
    <row r="50" spans="286:359" x14ac:dyDescent="0.3">
      <c r="JZ50" s="661"/>
      <c r="KA50" s="661"/>
      <c r="LV50" s="293"/>
      <c r="LW50" s="13"/>
      <c r="MA50" s="13"/>
      <c r="MB50" s="293"/>
      <c r="MC50" s="13"/>
      <c r="MF50" s="726"/>
      <c r="MG50" s="727"/>
      <c r="MM50" s="13"/>
      <c r="MO50" s="616"/>
      <c r="MT50" s="293"/>
      <c r="MU50" s="13"/>
    </row>
    <row r="51" spans="286:359" x14ac:dyDescent="0.3">
      <c r="LX51" s="13"/>
      <c r="LY51" s="13"/>
      <c r="LZ51" s="13"/>
      <c r="MF51" s="303"/>
      <c r="MG51" s="725"/>
      <c r="ML51" s="13"/>
    </row>
    <row r="52" spans="286:359" x14ac:dyDescent="0.3">
      <c r="LV52" s="293"/>
      <c r="LW52" s="13"/>
      <c r="MA52" s="13"/>
      <c r="MB52" s="293"/>
      <c r="MC52" s="13"/>
      <c r="MF52" s="726"/>
      <c r="MG52" s="727"/>
      <c r="MK52" s="293"/>
      <c r="MT52" s="293"/>
      <c r="MU52" s="13"/>
    </row>
    <row r="53" spans="286:359" x14ac:dyDescent="0.3">
      <c r="LX53" s="13"/>
      <c r="LY53" s="13"/>
      <c r="LZ53" s="13"/>
      <c r="MF53" s="303"/>
      <c r="MG53" s="725"/>
      <c r="ML53" s="13"/>
    </row>
    <row r="54" spans="286:359" x14ac:dyDescent="0.3">
      <c r="MF54" s="303"/>
      <c r="MG54" s="725"/>
      <c r="MK54" s="293"/>
    </row>
  </sheetData>
  <mergeCells count="107">
    <mergeCell ref="MF35:MG35"/>
    <mergeCell ref="F25:G25"/>
    <mergeCell ref="H25:J25"/>
    <mergeCell ref="K25:M25"/>
    <mergeCell ref="N25:P25"/>
    <mergeCell ref="MF34:MG34"/>
    <mergeCell ref="AN21:CM21"/>
    <mergeCell ref="BT22:BV22"/>
    <mergeCell ref="BT23:BV23"/>
    <mergeCell ref="F24:G24"/>
    <mergeCell ref="H24:J24"/>
    <mergeCell ref="K24:M24"/>
    <mergeCell ref="N24:P24"/>
    <mergeCell ref="LE3:LF3"/>
    <mergeCell ref="LL3:LN3"/>
    <mergeCell ref="LO3:LQ3"/>
    <mergeCell ref="LR3:LT3"/>
    <mergeCell ref="MF4:MG4"/>
    <mergeCell ref="MH4:MI4"/>
    <mergeCell ref="KS3:KT3"/>
    <mergeCell ref="KU3:KV3"/>
    <mergeCell ref="KW3:KX3"/>
    <mergeCell ref="KY3:KZ3"/>
    <mergeCell ref="LA3:LB3"/>
    <mergeCell ref="LC3:LD3"/>
    <mergeCell ref="JZ3:KA3"/>
    <mergeCell ref="KB3:KC3"/>
    <mergeCell ref="KD3:KE3"/>
    <mergeCell ref="KF3:KG3"/>
    <mergeCell ref="KO3:KP3"/>
    <mergeCell ref="KQ3:KR3"/>
    <mergeCell ref="IS3:IT3"/>
    <mergeCell ref="IU3:IV3"/>
    <mergeCell ref="IW3:IX3"/>
    <mergeCell ref="IY3:IZ3"/>
    <mergeCell ref="JA3:JC3"/>
    <mergeCell ref="JX3:JY3"/>
    <mergeCell ref="HZ3:IA3"/>
    <mergeCell ref="IB3:IC3"/>
    <mergeCell ref="IK3:IL3"/>
    <mergeCell ref="IM3:IN3"/>
    <mergeCell ref="IO3:IP3"/>
    <mergeCell ref="IQ3:IR3"/>
    <mergeCell ref="GH3:GK3"/>
    <mergeCell ref="GQ3:GT3"/>
    <mergeCell ref="GU3:GX3"/>
    <mergeCell ref="HT3:HU3"/>
    <mergeCell ref="HV3:HW3"/>
    <mergeCell ref="HX3:HY3"/>
    <mergeCell ref="EY3:FB3"/>
    <mergeCell ref="FC3:FF3"/>
    <mergeCell ref="FG3:FI3"/>
    <mergeCell ref="FP3:FS3"/>
    <mergeCell ref="FT3:FX3"/>
    <mergeCell ref="GD3:GG3"/>
    <mergeCell ref="DP3:DQ3"/>
    <mergeCell ref="DR3:DS3"/>
    <mergeCell ref="DY3:EB3"/>
    <mergeCell ref="EC3:EF3"/>
    <mergeCell ref="EL3:EO3"/>
    <mergeCell ref="EP3:ES3"/>
    <mergeCell ref="CI3:CK3"/>
    <mergeCell ref="CL3:CM3"/>
    <mergeCell ref="CS3:CV3"/>
    <mergeCell ref="CW3:CZ3"/>
    <mergeCell ref="DF3:DG3"/>
    <mergeCell ref="DH3:DJ3"/>
    <mergeCell ref="BP3:BR3"/>
    <mergeCell ref="BT3:BV3"/>
    <mergeCell ref="BW3:BY3"/>
    <mergeCell ref="BZ3:CB3"/>
    <mergeCell ref="CC3:CE3"/>
    <mergeCell ref="CF3:CH3"/>
    <mergeCell ref="AS3:AT3"/>
    <mergeCell ref="AV3:AX3"/>
    <mergeCell ref="AZ3:BB3"/>
    <mergeCell ref="BD3:BF3"/>
    <mergeCell ref="BH3:BJ3"/>
    <mergeCell ref="BL3:BN3"/>
    <mergeCell ref="KK1:LF2"/>
    <mergeCell ref="LJ1:LT2"/>
    <mergeCell ref="LX1:LZ2"/>
    <mergeCell ref="MD1:MI2"/>
    <mergeCell ref="MM1:MR2"/>
    <mergeCell ref="F3:G3"/>
    <mergeCell ref="H3:J3"/>
    <mergeCell ref="K3:M3"/>
    <mergeCell ref="N3:P3"/>
    <mergeCell ref="Q3:R3"/>
    <mergeCell ref="GN1:GY1"/>
    <mergeCell ref="HB1:HM2"/>
    <mergeCell ref="HQ1:IC2"/>
    <mergeCell ref="IG1:JC2"/>
    <mergeCell ref="JG1:JP2"/>
    <mergeCell ref="JT1:KG2"/>
    <mergeCell ref="DM1:DT1"/>
    <mergeCell ref="DV1:EG1"/>
    <mergeCell ref="EJ1:ES1"/>
    <mergeCell ref="EW1:FI1"/>
    <mergeCell ref="FL1:FY1"/>
    <mergeCell ref="GA1:GL1"/>
    <mergeCell ref="A1:R1"/>
    <mergeCell ref="W1:AA1"/>
    <mergeCell ref="AF1:AJ1"/>
    <mergeCell ref="AM1:CM1"/>
    <mergeCell ref="CP1:DA1"/>
    <mergeCell ref="DC1:DK1"/>
  </mergeCells>
  <conditionalFormatting sqref="AM3:CN4">
    <cfRule type="cellIs" dxfId="32" priority="7" operator="lessThan">
      <formula>0</formula>
    </cfRule>
  </conditionalFormatting>
  <conditionalFormatting sqref="AN7:AP20">
    <cfRule type="cellIs" dxfId="31" priority="21" operator="lessThan">
      <formula>0</formula>
    </cfRule>
  </conditionalFormatting>
  <conditionalFormatting sqref="AN22:BT23">
    <cfRule type="cellIs" dxfId="30" priority="5" operator="lessThan">
      <formula>0</formula>
    </cfRule>
  </conditionalFormatting>
  <conditionalFormatting sqref="BW7:CM20">
    <cfRule type="cellIs" dxfId="29" priority="10" operator="lessThan">
      <formula>0</formula>
    </cfRule>
  </conditionalFormatting>
  <conditionalFormatting sqref="BZ22:CA23">
    <cfRule type="cellIs" dxfId="28" priority="4" operator="lessThan">
      <formula>0</formula>
    </cfRule>
  </conditionalFormatting>
  <conditionalFormatting sqref="CC22:CM23">
    <cfRule type="cellIs" dxfId="27" priority="2" operator="lessThan">
      <formula>0</formula>
    </cfRule>
  </conditionalFormatting>
  <conditionalFormatting sqref="CN1:CO1 JF1:JG1 JT1 KH1:KK1 LG1:LH1 LJ1 AM1:AM2 JQ1:JS2 AO2:AR2 BW2:CN2 JF2 LG2 KH2:KJ27 CO2:CO1048576 LH2:LH1048576 JF3:JV3 JX3 JZ3 KB3 KO3:KU3 KW3 LA3:LG3 KM3:KN4 JF4 JH4:JR4 KO4:LG4 JT4:JW27 JS4:JS28 AN5:AR5 BW5:CM5 CN5:CN24 KK5:KL27 AM5:AM1048576 AN6:CM6 KM6:LG6 JP6:JR26 JF6:JO1048576 AQ7:BT10 BU7:BV11 LA7:LG28 AQ11:BO11 BQ11:BT11 AQ12:BV20 AH19:AJ19 AN26:CN1048576 JY27 KA27 KC27:KE27 JR27:JR32 JP27:JQ1048576 LI28:LT28 JS29:JX29 JZ29:KJ29 KL29:LF29 LG29:LG1048576 KL30:KN30 KP30:LF30 JS30:JS32 KH30:KJ32 LI37:LT1048576 JR34:JX50 JZ34:KJ50 KK45:LF1048576 JR51:KJ1048576 KK38:KK44 KL36:LF44 KK31:LF35 LI29:LU36">
    <cfRule type="cellIs" dxfId="26" priority="27" operator="lessThan">
      <formula>0</formula>
    </cfRule>
  </conditionalFormatting>
  <conditionalFormatting sqref="HI4 HI6:HI25">
    <cfRule type="cellIs" dxfId="25" priority="26" operator="lessThan">
      <formula>0</formula>
    </cfRule>
  </conditionalFormatting>
  <conditionalFormatting sqref="II4">
    <cfRule type="cellIs" dxfId="24" priority="24" operator="lessThan">
      <formula>0</formula>
    </cfRule>
  </conditionalFormatting>
  <conditionalFormatting sqref="JF5:JR5">
    <cfRule type="cellIs" dxfId="23" priority="13" operator="lessThan">
      <formula>0</formula>
    </cfRule>
  </conditionalFormatting>
  <conditionalFormatting sqref="JX4:KG26">
    <cfRule type="cellIs" dxfId="22" priority="3" operator="lessThan">
      <formula>0</formula>
    </cfRule>
  </conditionalFormatting>
  <conditionalFormatting sqref="KF3">
    <cfRule type="cellIs" dxfId="21" priority="22" operator="lessThan">
      <formula>0</formula>
    </cfRule>
  </conditionalFormatting>
  <conditionalFormatting sqref="KF28:KZ28">
    <cfRule type="cellIs" dxfId="20" priority="12" operator="lessThan">
      <formula>0</formula>
    </cfRule>
  </conditionalFormatting>
  <conditionalFormatting sqref="KG27">
    <cfRule type="cellIs" dxfId="19" priority="14" operator="lessThan">
      <formula>0</formula>
    </cfRule>
  </conditionalFormatting>
  <conditionalFormatting sqref="KK3:KL3 KL4">
    <cfRule type="cellIs" dxfId="18" priority="23" operator="lessThan">
      <formula>0</formula>
    </cfRule>
  </conditionalFormatting>
  <conditionalFormatting sqref="KM7:KZ27">
    <cfRule type="cellIs" dxfId="17" priority="11" operator="lessThan">
      <formula>0</formula>
    </cfRule>
  </conditionalFormatting>
  <conditionalFormatting sqref="KM5:LG5">
    <cfRule type="cellIs" dxfId="16" priority="25" operator="lessThan">
      <formula>0</formula>
    </cfRule>
  </conditionalFormatting>
  <conditionalFormatting sqref="LI2">
    <cfRule type="cellIs" dxfId="15" priority="6" operator="lessThan">
      <formula>0</formula>
    </cfRule>
  </conditionalFormatting>
  <conditionalFormatting sqref="LL3:LL4">
    <cfRule type="cellIs" dxfId="14" priority="20" operator="lessThan">
      <formula>0</formula>
    </cfRule>
  </conditionalFormatting>
  <conditionalFormatting sqref="LM4:LN4">
    <cfRule type="cellIs" dxfId="13" priority="19" operator="lessThan">
      <formula>0</formula>
    </cfRule>
  </conditionalFormatting>
  <conditionalFormatting sqref="LO3:LO4">
    <cfRule type="cellIs" dxfId="12" priority="18" operator="lessThan">
      <formula>0</formula>
    </cfRule>
  </conditionalFormatting>
  <conditionalFormatting sqref="LP4:LQ4">
    <cfRule type="cellIs" dxfId="11" priority="17" operator="lessThan">
      <formula>0</formula>
    </cfRule>
  </conditionalFormatting>
  <conditionalFormatting sqref="LR3:LR4">
    <cfRule type="cellIs" dxfId="10" priority="16" operator="lessThan">
      <formula>0</formula>
    </cfRule>
  </conditionalFormatting>
  <conditionalFormatting sqref="LS4:LT4">
    <cfRule type="cellIs" dxfId="9" priority="15" operator="lessThan">
      <formula>0</formula>
    </cfRule>
  </conditionalFormatting>
  <conditionalFormatting sqref="LX1">
    <cfRule type="cellIs" dxfId="8" priority="9" operator="lessThan">
      <formula>0</formula>
    </cfRule>
  </conditionalFormatting>
  <conditionalFormatting sqref="LX4:LZ4">
    <cfRule type="cellIs" dxfId="7" priority="8" operator="lessThan">
      <formula>0</formula>
    </cfRule>
  </conditionalFormatting>
  <conditionalFormatting sqref="JT30:KG33">
    <cfRule type="cellIs" dxfId="6" priority="1" operator="lessThan">
      <formula>0</formula>
    </cfRule>
  </conditionalFormatting>
  <pageMargins left="0.7" right="0.7" top="0.75" bottom="0.75" header="0.3" footer="0.3"/>
  <pageSetup scale="10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6B46-8CE3-4DDC-A2A6-EFC92B67090E}">
  <sheetPr>
    <tabColor theme="6"/>
    <pageSetUpPr autoPageBreaks="0"/>
  </sheetPr>
  <dimension ref="A1:JQ50"/>
  <sheetViews>
    <sheetView zoomScale="90" zoomScaleNormal="90" workbookViewId="0">
      <selection sqref="A1:E1"/>
    </sheetView>
  </sheetViews>
  <sheetFormatPr defaultColWidth="9" defaultRowHeight="16.5" x14ac:dyDescent="0.3"/>
  <cols>
    <col min="1" max="1" width="7.75" style="17" customWidth="1"/>
    <col min="2" max="2" width="28.125" style="17" bestFit="1" customWidth="1"/>
    <col min="3" max="3" width="21.5" style="17" customWidth="1"/>
    <col min="4" max="4" width="19" style="17" customWidth="1"/>
    <col min="5" max="5" width="18.75" style="17" customWidth="1"/>
    <col min="6" max="6" width="3.625" style="17" customWidth="1"/>
    <col min="7" max="7" width="3.625" style="753" customWidth="1"/>
    <col min="8" max="9" width="3.625" style="17" customWidth="1"/>
    <col min="10" max="10" width="10.25" style="17" customWidth="1"/>
    <col min="11" max="11" width="33" style="17" customWidth="1"/>
    <col min="12" max="12" width="18.25" style="17" customWidth="1"/>
    <col min="13" max="15" width="12.625" style="17" customWidth="1"/>
    <col min="16" max="16" width="15.5" style="17" customWidth="1"/>
    <col min="17" max="17" width="13.125" style="17" customWidth="1"/>
    <col min="18" max="18" width="3.625" style="17" customWidth="1"/>
    <col min="19" max="19" width="3.625" style="753" customWidth="1"/>
    <col min="20" max="21" width="3.625" style="17" customWidth="1"/>
    <col min="22" max="22" width="9.875" style="17" customWidth="1"/>
    <col min="23" max="23" width="30.625" style="17" bestFit="1" customWidth="1"/>
    <col min="24" max="24" width="16" style="17" customWidth="1"/>
    <col min="25" max="25" width="10" style="17" customWidth="1"/>
    <col min="26" max="26" width="3.625" style="17" customWidth="1"/>
    <col min="27" max="27" width="3.625" style="753" customWidth="1"/>
    <col min="28" max="28" width="3.625" style="17" customWidth="1"/>
    <col min="29" max="30" width="8.625" style="17" customWidth="1"/>
    <col min="31" max="31" width="33.5" style="17" customWidth="1"/>
    <col min="32" max="32" width="14.5" style="17" customWidth="1"/>
    <col min="33" max="33" width="3.5" style="17" customWidth="1"/>
    <col min="34" max="34" width="3.625" style="753" customWidth="1"/>
    <col min="35" max="35" width="3.625" style="17" customWidth="1"/>
    <col min="36" max="36" width="4.5" style="17" customWidth="1"/>
    <col min="37" max="37" width="57.125" style="17" customWidth="1"/>
    <col min="38" max="38" width="11.625" style="17" customWidth="1"/>
    <col min="39" max="39" width="3.625" style="17" customWidth="1"/>
    <col min="40" max="40" width="3.625" style="753" customWidth="1"/>
    <col min="41" max="41" width="3.625" style="17" customWidth="1"/>
    <col min="42" max="42" width="4.625" style="17" customWidth="1"/>
    <col min="43" max="43" width="9.625" style="17" customWidth="1"/>
    <col min="44" max="44" width="26.75" style="17" customWidth="1"/>
    <col min="45" max="45" width="14.5" style="17" customWidth="1"/>
    <col min="46" max="46" width="13.875" style="17" bestFit="1" customWidth="1"/>
    <col min="47" max="47" width="18.375" style="17" bestFit="1" customWidth="1"/>
    <col min="48" max="48" width="16.75" style="17" bestFit="1" customWidth="1"/>
    <col min="49" max="49" width="13.875" style="17" bestFit="1" customWidth="1"/>
    <col min="50" max="50" width="17.75" style="17" customWidth="1"/>
    <col min="51" max="51" width="10.75" style="17" bestFit="1" customWidth="1"/>
    <col min="52" max="52" width="7.375" style="17" bestFit="1" customWidth="1"/>
    <col min="53" max="53" width="3.625" style="17" customWidth="1"/>
    <col min="54" max="54" width="3.625" style="753" customWidth="1"/>
    <col min="55" max="55" width="3.625" style="17" customWidth="1"/>
    <col min="56" max="56" width="4.125" style="17" bestFit="1" customWidth="1"/>
    <col min="57" max="57" width="31.625" style="17" bestFit="1" customWidth="1"/>
    <col min="58" max="58" width="11.625" style="17" bestFit="1" customWidth="1"/>
    <col min="59" max="59" width="13.125" style="17" bestFit="1" customWidth="1"/>
    <col min="60" max="60" width="3.625" style="17" customWidth="1"/>
    <col min="61" max="61" width="3.625" style="753" customWidth="1"/>
    <col min="62" max="62" width="3.625" style="17" customWidth="1"/>
    <col min="63" max="63" width="5" style="17" customWidth="1"/>
    <col min="64" max="64" width="10.25" style="17" customWidth="1"/>
    <col min="65" max="65" width="33.625" style="17" customWidth="1"/>
    <col min="66" max="66" width="16.125" style="17" customWidth="1"/>
    <col min="67" max="67" width="18" style="17" customWidth="1"/>
    <col min="68" max="71" width="14.625" style="17" customWidth="1"/>
    <col min="72" max="72" width="3.625" style="17" customWidth="1"/>
    <col min="73" max="73" width="3.625" style="753" customWidth="1"/>
    <col min="74" max="74" width="3.625" style="17" customWidth="1"/>
    <col min="75" max="75" width="4.375" style="17" customWidth="1"/>
    <col min="76" max="76" width="16.5" style="17" bestFit="1" customWidth="1"/>
    <col min="77" max="77" width="12.625" style="17" customWidth="1"/>
    <col min="78" max="78" width="13" style="17" customWidth="1"/>
    <col min="79" max="82" width="13.625" style="17" customWidth="1"/>
    <col min="83" max="83" width="3.625" style="17" customWidth="1"/>
    <col min="84" max="84" width="3.625" style="753" customWidth="1"/>
    <col min="85" max="85" width="3.625" style="17" customWidth="1"/>
    <col min="86" max="86" width="4.375" style="17" customWidth="1"/>
    <col min="87" max="87" width="9.625" style="95" customWidth="1"/>
    <col min="88" max="88" width="31.125" style="17" customWidth="1"/>
    <col min="89" max="95" width="14.125" style="17" customWidth="1"/>
    <col min="96" max="96" width="3.625" style="17" customWidth="1"/>
    <col min="97" max="97" width="3.625" style="753" customWidth="1"/>
    <col min="98" max="98" width="3.625" style="17" customWidth="1"/>
    <col min="99" max="99" width="4.125" style="17" customWidth="1"/>
    <col min="100" max="100" width="26.25" style="17" bestFit="1" customWidth="1"/>
    <col min="101" max="104" width="11.5" style="17" customWidth="1"/>
    <col min="105" max="105" width="14.625" style="17" customWidth="1"/>
    <col min="106" max="106" width="17.5" style="17" customWidth="1"/>
    <col min="107" max="107" width="17.625" style="17" customWidth="1"/>
    <col min="108" max="108" width="3.625" style="17" customWidth="1"/>
    <col min="109" max="109" width="3.625" style="753" customWidth="1"/>
    <col min="110" max="110" width="3.625" style="17" customWidth="1"/>
    <col min="111" max="111" width="5.125" style="17" customWidth="1"/>
    <col min="112" max="112" width="10" style="17" customWidth="1"/>
    <col min="113" max="113" width="30.125" style="17" customWidth="1"/>
    <col min="114" max="114" width="11.625" style="17" customWidth="1"/>
    <col min="115" max="115" width="13.625" style="17" customWidth="1"/>
    <col min="116" max="116" width="14.5" style="17" customWidth="1"/>
    <col min="117" max="117" width="13.625" style="17" customWidth="1"/>
    <col min="118" max="118" width="11.625" style="17" customWidth="1"/>
    <col min="119" max="119" width="13.625" style="17" customWidth="1"/>
    <col min="120" max="120" width="14.625" style="17" customWidth="1"/>
    <col min="121" max="121" width="11.625" style="17" customWidth="1"/>
    <col min="122" max="122" width="13.5" style="17" customWidth="1"/>
    <col min="123" max="123" width="3.625" style="17" customWidth="1"/>
    <col min="124" max="124" width="3.625" style="753" customWidth="1"/>
    <col min="125" max="125" width="3.625" style="17" customWidth="1"/>
    <col min="126" max="126" width="5.375" style="17" customWidth="1"/>
    <col min="127" max="127" width="9.75" style="17" customWidth="1"/>
    <col min="128" max="128" width="33.125" style="17" customWidth="1"/>
    <col min="129" max="129" width="14.625" style="17" customWidth="1"/>
    <col min="130" max="130" width="14" style="17" customWidth="1"/>
    <col min="131" max="131" width="13.5" style="17" customWidth="1"/>
    <col min="132" max="132" width="3.625" style="17" customWidth="1"/>
    <col min="133" max="133" width="3.625" style="753" customWidth="1"/>
    <col min="134" max="134" width="3.625" style="17" customWidth="1"/>
    <col min="135" max="135" width="4.125" style="17" customWidth="1"/>
    <col min="136" max="137" width="12.625" style="17" customWidth="1"/>
    <col min="138" max="138" width="11.5" style="17" customWidth="1"/>
    <col min="139" max="139" width="13" style="17" customWidth="1"/>
    <col min="140" max="140" width="3.625" style="17" customWidth="1"/>
    <col min="141" max="141" width="3.625" style="753" customWidth="1"/>
    <col min="142" max="142" width="3.625" style="17" customWidth="1"/>
    <col min="143" max="143" width="5" style="17" customWidth="1"/>
    <col min="144" max="144" width="10.25" style="17" customWidth="1"/>
    <col min="145" max="145" width="30.125" style="17" customWidth="1"/>
    <col min="146" max="146" width="12.625" style="17" customWidth="1"/>
    <col min="147" max="147" width="13.625" style="17" bestFit="1" customWidth="1"/>
    <col min="148" max="151" width="12.625" style="17" customWidth="1"/>
    <col min="152" max="152" width="13.625" style="17" customWidth="1"/>
    <col min="153" max="154" width="12.625" style="17" customWidth="1"/>
    <col min="155" max="155" width="3.625" style="17" customWidth="1"/>
    <col min="156" max="156" width="3.625" style="753" customWidth="1"/>
    <col min="157" max="157" width="3.625" style="17" customWidth="1"/>
    <col min="158" max="158" width="4.625" style="17" customWidth="1"/>
    <col min="159" max="159" width="29.125" style="17" customWidth="1"/>
    <col min="160" max="160" width="18.625" style="17" customWidth="1"/>
    <col min="161" max="161" width="3.625" style="17" customWidth="1"/>
    <col min="162" max="162" width="3.625" style="753" customWidth="1"/>
    <col min="163" max="163" width="3.625" style="17" customWidth="1"/>
    <col min="164" max="164" width="4.75" style="17" customWidth="1"/>
    <col min="165" max="165" width="10" style="17" customWidth="1"/>
    <col min="166" max="166" width="35" style="17" customWidth="1"/>
    <col min="167" max="167" width="10.625" style="17" customWidth="1"/>
    <col min="168" max="168" width="17.625" style="17" customWidth="1"/>
    <col min="169" max="169" width="13.625" style="17" customWidth="1"/>
    <col min="170" max="170" width="3.625" style="17" customWidth="1"/>
    <col min="171" max="171" width="3.625" style="753" customWidth="1"/>
    <col min="172" max="172" width="3.625" style="17" customWidth="1"/>
    <col min="173" max="173" width="5" style="17" customWidth="1"/>
    <col min="174" max="174" width="9.25" style="17" customWidth="1"/>
    <col min="175" max="175" width="33" style="17" customWidth="1"/>
    <col min="176" max="176" width="15.125" style="17" bestFit="1" customWidth="1"/>
    <col min="177" max="177" width="14.625" style="17" bestFit="1" customWidth="1"/>
    <col min="178" max="178" width="14.125" style="17" bestFit="1" customWidth="1"/>
    <col min="179" max="179" width="13.625" style="17" bestFit="1" customWidth="1"/>
    <col min="180" max="180" width="13.125" style="17" bestFit="1" customWidth="1"/>
    <col min="181" max="181" width="14.125" style="17" bestFit="1" customWidth="1"/>
    <col min="182" max="182" width="14.625" style="17" bestFit="1" customWidth="1"/>
    <col min="183" max="183" width="15.625" style="17" bestFit="1" customWidth="1"/>
    <col min="184" max="184" width="13.5" style="17" customWidth="1"/>
    <col min="185" max="185" width="2.625" style="17" customWidth="1"/>
    <col min="186" max="186" width="3.625" style="753" customWidth="1"/>
    <col min="187" max="187" width="3.625" style="17" customWidth="1"/>
    <col min="188" max="188" width="4.75" style="17" customWidth="1"/>
    <col min="189" max="189" width="9.625" style="17" customWidth="1"/>
    <col min="190" max="190" width="33" style="17" customWidth="1"/>
    <col min="191" max="191" width="15.75" style="17" customWidth="1"/>
    <col min="192" max="196" width="14.5" style="17" customWidth="1"/>
    <col min="197" max="197" width="21.75" style="17" customWidth="1"/>
    <col min="198" max="198" width="14.5" style="17" customWidth="1"/>
    <col min="199" max="199" width="17.625" style="17" bestFit="1" customWidth="1"/>
    <col min="200" max="200" width="4.125" style="17" customWidth="1"/>
    <col min="201" max="201" width="3.625" style="753" customWidth="1"/>
    <col min="202" max="202" width="3.625" style="17" customWidth="1"/>
    <col min="203" max="203" width="5.25" style="17" customWidth="1"/>
    <col min="204" max="204" width="9.75" style="17" customWidth="1"/>
    <col min="205" max="205" width="30.5" style="17" customWidth="1"/>
    <col min="206" max="206" width="14.125" style="17" customWidth="1"/>
    <col min="207" max="207" width="15.625" style="17" bestFit="1" customWidth="1"/>
    <col min="208" max="208" width="17.625" style="17" customWidth="1"/>
    <col min="209" max="209" width="13.625" style="17" customWidth="1"/>
    <col min="210" max="210" width="15.625" style="17" bestFit="1" customWidth="1"/>
    <col min="211" max="211" width="13.625" style="17" customWidth="1"/>
    <col min="212" max="212" width="2.625" style="17" customWidth="1"/>
    <col min="213" max="213" width="3.625" style="753" customWidth="1"/>
    <col min="214" max="214" width="3.625" style="17" customWidth="1"/>
    <col min="215" max="215" width="5.125" style="17" customWidth="1"/>
    <col min="216" max="216" width="13.625" style="17" customWidth="1"/>
    <col min="217" max="217" width="15.5" style="17" bestFit="1" customWidth="1"/>
    <col min="218" max="218" width="13.625" style="17" customWidth="1"/>
    <col min="219" max="219" width="15.5" style="17" bestFit="1" customWidth="1"/>
    <col min="220" max="220" width="9.625" style="17" customWidth="1"/>
    <col min="221" max="221" width="2.625" style="17" customWidth="1"/>
    <col min="222" max="222" width="3.625" style="753" customWidth="1"/>
    <col min="223" max="223" width="3.625" style="17" customWidth="1"/>
    <col min="224" max="224" width="6.625" style="17" customWidth="1"/>
    <col min="225" max="225" width="9" style="17" customWidth="1"/>
    <col min="226" max="226" width="28.625" style="17" bestFit="1" customWidth="1"/>
    <col min="227" max="227" width="14.375" style="17" customWidth="1"/>
    <col min="228" max="228" width="19.125" style="17" customWidth="1"/>
    <col min="229" max="229" width="20.25" style="17" customWidth="1"/>
    <col min="230" max="230" width="10.125" style="17" customWidth="1"/>
    <col min="231" max="231" width="9.625" style="17" customWidth="1"/>
    <col min="232" max="232" width="14.5" style="17" customWidth="1"/>
    <col min="233" max="233" width="3.625" style="17" customWidth="1"/>
    <col min="234" max="234" width="3.625" style="753" customWidth="1"/>
    <col min="235" max="235" width="3.625" style="17" customWidth="1"/>
    <col min="236" max="237" width="12.375" style="17" bestFit="1" customWidth="1"/>
    <col min="238" max="238" width="15" style="17" bestFit="1" customWidth="1"/>
    <col min="239" max="239" width="9" style="17" bestFit="1" customWidth="1"/>
    <col min="240" max="240" width="20" style="17" bestFit="1" customWidth="1"/>
    <col min="241" max="241" width="12.125" style="17" bestFit="1" customWidth="1"/>
    <col min="242" max="242" width="11.625" style="17" bestFit="1" customWidth="1"/>
    <col min="243" max="243" width="19.875" style="17" customWidth="1"/>
    <col min="244" max="244" width="11.375" style="17" bestFit="1" customWidth="1"/>
    <col min="245" max="245" width="10.375" style="17" bestFit="1" customWidth="1"/>
    <col min="246" max="246" width="12.125" style="17" bestFit="1" customWidth="1"/>
    <col min="247" max="247" width="3.625" style="753" customWidth="1"/>
    <col min="248" max="248" width="12.625" style="17" bestFit="1" customWidth="1"/>
    <col min="249" max="249" width="4.125" style="17" bestFit="1" customWidth="1"/>
    <col min="250" max="250" width="8.25" style="17" bestFit="1" customWidth="1"/>
    <col min="251" max="251" width="29.875" style="17" customWidth="1"/>
    <col min="252" max="252" width="15.75" style="17" customWidth="1"/>
    <col min="253" max="253" width="15" style="17" customWidth="1"/>
    <col min="254" max="255" width="17.25" style="17" customWidth="1"/>
    <col min="256" max="256" width="19.5" style="17" customWidth="1"/>
    <col min="257" max="257" width="18.75" style="17" customWidth="1"/>
    <col min="258" max="258" width="18.375" style="17" customWidth="1"/>
    <col min="259" max="259" width="14" style="17" customWidth="1"/>
    <col min="260" max="260" width="12.75" style="17" customWidth="1"/>
    <col min="261" max="261" width="15.5" style="17" customWidth="1"/>
    <col min="262" max="262" width="8.75" style="17" customWidth="1"/>
    <col min="263" max="263" width="9" style="17"/>
    <col min="264" max="264" width="3.625" style="753" customWidth="1"/>
    <col min="265" max="265" width="9" style="17"/>
    <col min="266" max="266" width="10.125" style="17" bestFit="1" customWidth="1"/>
    <col min="267" max="267" width="8.625" style="17" bestFit="1" customWidth="1"/>
    <col min="268" max="268" width="29.625" style="17" customWidth="1"/>
    <col min="269" max="269" width="16.5" style="17" customWidth="1"/>
    <col min="270" max="270" width="17.875" style="17" customWidth="1"/>
    <col min="271" max="271" width="14.25" style="17" bestFit="1" customWidth="1"/>
    <col min="272" max="272" width="7.625" style="17" bestFit="1" customWidth="1"/>
    <col min="273" max="273" width="10.875" style="17" customWidth="1"/>
    <col min="274" max="274" width="12.625" style="17" customWidth="1"/>
    <col min="275" max="276" width="9" style="17"/>
    <col min="277" max="277" width="3.625" style="753" customWidth="1"/>
  </cols>
  <sheetData>
    <row r="1" spans="1:277" s="741" customFormat="1" x14ac:dyDescent="0.3">
      <c r="A1" s="728" t="s">
        <v>262</v>
      </c>
      <c r="B1" s="728"/>
      <c r="C1" s="728"/>
      <c r="D1" s="728"/>
      <c r="E1" s="728"/>
      <c r="F1" s="729"/>
      <c r="G1" s="730"/>
      <c r="H1" s="729"/>
      <c r="I1" s="731" t="s">
        <v>263</v>
      </c>
      <c r="J1" s="731"/>
      <c r="K1" s="731"/>
      <c r="L1" s="731"/>
      <c r="M1" s="731"/>
      <c r="N1" s="731"/>
      <c r="O1" s="731"/>
      <c r="P1" s="731"/>
      <c r="Q1" s="731"/>
      <c r="R1" s="729"/>
      <c r="S1" s="730"/>
      <c r="T1" s="729"/>
      <c r="U1" s="731" t="s">
        <v>264</v>
      </c>
      <c r="V1" s="731"/>
      <c r="W1" s="731"/>
      <c r="X1" s="731"/>
      <c r="Y1" s="731"/>
      <c r="Z1" s="729"/>
      <c r="AA1" s="730"/>
      <c r="AB1" s="729"/>
      <c r="AC1" s="728" t="s">
        <v>265</v>
      </c>
      <c r="AD1" s="728"/>
      <c r="AE1" s="728"/>
      <c r="AF1" s="728"/>
      <c r="AG1" s="732"/>
      <c r="AH1" s="730"/>
      <c r="AI1" s="729"/>
      <c r="AJ1" s="733" t="s">
        <v>266</v>
      </c>
      <c r="AK1" s="733"/>
      <c r="AL1" s="733"/>
      <c r="AM1" s="6"/>
      <c r="AN1" s="734"/>
      <c r="AO1" s="6"/>
      <c r="AP1" s="735" t="s">
        <v>267</v>
      </c>
      <c r="AQ1" s="735"/>
      <c r="AR1" s="735"/>
      <c r="AS1" s="735"/>
      <c r="AT1" s="735"/>
      <c r="AU1" s="735"/>
      <c r="AV1" s="735"/>
      <c r="AW1" s="735"/>
      <c r="AX1" s="735"/>
      <c r="AY1" s="735"/>
      <c r="AZ1" s="735"/>
      <c r="BA1" s="729"/>
      <c r="BB1" s="730"/>
      <c r="BC1" s="729"/>
      <c r="BD1" s="733" t="s">
        <v>268</v>
      </c>
      <c r="BE1" s="733"/>
      <c r="BF1" s="733"/>
      <c r="BG1" s="733"/>
      <c r="BH1" s="729"/>
      <c r="BI1" s="730"/>
      <c r="BJ1" s="729"/>
      <c r="BK1" s="736" t="s">
        <v>269</v>
      </c>
      <c r="BL1" s="736"/>
      <c r="BM1" s="736"/>
      <c r="BN1" s="736"/>
      <c r="BO1" s="736"/>
      <c r="BP1" s="736"/>
      <c r="BQ1" s="736"/>
      <c r="BR1" s="736"/>
      <c r="BS1" s="736"/>
      <c r="BT1" s="729"/>
      <c r="BU1" s="730"/>
      <c r="BV1" s="729"/>
      <c r="BW1" s="731" t="s">
        <v>270</v>
      </c>
      <c r="BX1" s="731"/>
      <c r="BY1" s="731"/>
      <c r="BZ1" s="731"/>
      <c r="CA1" s="731"/>
      <c r="CB1" s="731"/>
      <c r="CC1" s="731"/>
      <c r="CD1" s="731"/>
      <c r="CE1" s="729"/>
      <c r="CF1" s="730"/>
      <c r="CG1" s="729"/>
      <c r="CH1" s="731" t="s">
        <v>271</v>
      </c>
      <c r="CI1" s="731"/>
      <c r="CJ1" s="731"/>
      <c r="CK1" s="731"/>
      <c r="CL1" s="731"/>
      <c r="CM1" s="731"/>
      <c r="CN1" s="731"/>
      <c r="CO1" s="731"/>
      <c r="CP1" s="731"/>
      <c r="CQ1" s="731"/>
      <c r="CR1" s="729"/>
      <c r="CS1" s="730"/>
      <c r="CT1" s="729"/>
      <c r="CU1" s="731" t="s">
        <v>272</v>
      </c>
      <c r="CV1" s="731"/>
      <c r="CW1" s="731"/>
      <c r="CX1" s="731"/>
      <c r="CY1" s="731"/>
      <c r="CZ1" s="731"/>
      <c r="DA1" s="731"/>
      <c r="DB1" s="731"/>
      <c r="DC1" s="731"/>
      <c r="DD1" s="729"/>
      <c r="DE1" s="730"/>
      <c r="DF1" s="729"/>
      <c r="DG1" s="737" t="s">
        <v>273</v>
      </c>
      <c r="DH1" s="737"/>
      <c r="DI1" s="737"/>
      <c r="DJ1" s="737"/>
      <c r="DK1" s="737"/>
      <c r="DL1" s="737"/>
      <c r="DM1" s="737"/>
      <c r="DN1" s="737"/>
      <c r="DO1" s="737"/>
      <c r="DP1" s="737"/>
      <c r="DQ1" s="737"/>
      <c r="DR1" s="737"/>
      <c r="DS1" s="729"/>
      <c r="DT1" s="730"/>
      <c r="DU1" s="729"/>
      <c r="DV1" s="737" t="s">
        <v>274</v>
      </c>
      <c r="DW1" s="737"/>
      <c r="DX1" s="737"/>
      <c r="DY1" s="737"/>
      <c r="DZ1" s="737"/>
      <c r="EA1" s="737"/>
      <c r="EB1" s="729"/>
      <c r="EC1" s="730"/>
      <c r="ED1" s="729"/>
      <c r="EE1" s="728" t="s">
        <v>275</v>
      </c>
      <c r="EF1" s="728"/>
      <c r="EG1" s="728"/>
      <c r="EH1" s="728"/>
      <c r="EI1" s="728"/>
      <c r="EJ1" s="729"/>
      <c r="EK1" s="730"/>
      <c r="EL1" s="729"/>
      <c r="EM1" s="737" t="s">
        <v>276</v>
      </c>
      <c r="EN1" s="737"/>
      <c r="EO1" s="737"/>
      <c r="EP1" s="737"/>
      <c r="EQ1" s="737"/>
      <c r="ER1" s="737"/>
      <c r="ES1" s="737"/>
      <c r="ET1" s="737"/>
      <c r="EU1" s="737"/>
      <c r="EV1" s="737"/>
      <c r="EW1" s="737"/>
      <c r="EX1" s="737"/>
      <c r="EY1" s="729"/>
      <c r="EZ1" s="730"/>
      <c r="FA1" s="729"/>
      <c r="FB1" s="728" t="s">
        <v>277</v>
      </c>
      <c r="FC1" s="728"/>
      <c r="FD1" s="728"/>
      <c r="FE1" s="729"/>
      <c r="FF1" s="730"/>
      <c r="FG1" s="729"/>
      <c r="FH1" s="737" t="s">
        <v>278</v>
      </c>
      <c r="FI1" s="737"/>
      <c r="FJ1" s="737"/>
      <c r="FK1" s="737"/>
      <c r="FL1" s="737"/>
      <c r="FM1" s="737"/>
      <c r="FN1" s="729"/>
      <c r="FO1" s="734"/>
      <c r="FP1" s="6"/>
      <c r="FQ1" s="731" t="s">
        <v>279</v>
      </c>
      <c r="FR1" s="731"/>
      <c r="FS1" s="731"/>
      <c r="FT1" s="731"/>
      <c r="FU1" s="731"/>
      <c r="FV1" s="731"/>
      <c r="FW1" s="731"/>
      <c r="FX1" s="731"/>
      <c r="FY1" s="731"/>
      <c r="FZ1" s="731"/>
      <c r="GA1" s="731"/>
      <c r="GB1" s="731"/>
      <c r="GC1" s="738"/>
      <c r="GD1" s="734"/>
      <c r="GE1" s="6"/>
      <c r="GF1" s="735" t="s">
        <v>280</v>
      </c>
      <c r="GG1" s="735"/>
      <c r="GH1" s="735"/>
      <c r="GI1" s="735"/>
      <c r="GJ1" s="735"/>
      <c r="GK1" s="735"/>
      <c r="GL1" s="735"/>
      <c r="GM1" s="735"/>
      <c r="GN1" s="735"/>
      <c r="GO1" s="735"/>
      <c r="GP1" s="735"/>
      <c r="GQ1" s="735"/>
      <c r="GR1" s="739"/>
      <c r="GS1" s="734"/>
      <c r="GT1" s="6"/>
      <c r="GU1" s="728" t="s">
        <v>281</v>
      </c>
      <c r="GV1" s="728"/>
      <c r="GW1" s="728"/>
      <c r="GX1" s="728"/>
      <c r="GY1" s="728"/>
      <c r="GZ1" s="728"/>
      <c r="HA1" s="728"/>
      <c r="HB1" s="728"/>
      <c r="HC1" s="728"/>
      <c r="HD1" s="740"/>
      <c r="HE1" s="734"/>
      <c r="HF1" s="6"/>
      <c r="HG1" s="728" t="s">
        <v>282</v>
      </c>
      <c r="HH1" s="728"/>
      <c r="HI1" s="728"/>
      <c r="HJ1" s="728"/>
      <c r="HK1" s="728"/>
      <c r="HL1" s="728"/>
      <c r="HM1" s="740"/>
      <c r="HN1" s="734"/>
      <c r="HO1" s="6"/>
      <c r="HP1" s="731" t="s">
        <v>283</v>
      </c>
      <c r="HQ1" s="731"/>
      <c r="HR1" s="731"/>
      <c r="HS1" s="731"/>
      <c r="HT1" s="731"/>
      <c r="HU1" s="731"/>
      <c r="HV1" s="731"/>
      <c r="HW1" s="731"/>
      <c r="HX1" s="731"/>
      <c r="HY1" s="729"/>
      <c r="HZ1" s="730"/>
      <c r="IA1" s="729"/>
      <c r="IB1" s="733" t="s">
        <v>284</v>
      </c>
      <c r="IC1" s="733"/>
      <c r="ID1" s="733"/>
      <c r="IE1" s="733"/>
      <c r="IF1" s="733"/>
      <c r="IG1" s="733"/>
      <c r="IH1" s="733"/>
      <c r="II1" s="733"/>
      <c r="IJ1" s="733"/>
      <c r="IK1" s="733"/>
      <c r="IL1" s="729"/>
      <c r="IM1" s="730"/>
      <c r="IN1" s="729"/>
      <c r="IO1" s="733" t="s">
        <v>285</v>
      </c>
      <c r="IP1" s="733"/>
      <c r="IQ1" s="733"/>
      <c r="IR1" s="733"/>
      <c r="IS1" s="733"/>
      <c r="IT1" s="733"/>
      <c r="IU1" s="733"/>
      <c r="IV1" s="733"/>
      <c r="IW1" s="733"/>
      <c r="IX1" s="733"/>
      <c r="IY1" s="733"/>
      <c r="IZ1" s="733"/>
      <c r="JA1" s="733"/>
      <c r="JB1" s="733"/>
      <c r="JC1" s="6"/>
      <c r="JD1" s="734"/>
      <c r="JE1" s="6"/>
      <c r="JF1" s="731" t="s">
        <v>286</v>
      </c>
      <c r="JG1" s="731"/>
      <c r="JH1" s="731"/>
      <c r="JI1" s="731"/>
      <c r="JJ1" s="731"/>
      <c r="JK1" s="731"/>
      <c r="JL1" s="731"/>
      <c r="JM1" s="731"/>
      <c r="JN1" s="731"/>
      <c r="JO1" s="6"/>
      <c r="JP1" s="6"/>
      <c r="JQ1" s="734"/>
    </row>
    <row r="2" spans="1:277" ht="77.25" customHeight="1" x14ac:dyDescent="0.3">
      <c r="A2" s="742"/>
      <c r="B2" s="743"/>
      <c r="C2" s="110" t="s">
        <v>287</v>
      </c>
      <c r="D2" s="110" t="s">
        <v>288</v>
      </c>
      <c r="E2" s="110" t="s">
        <v>289</v>
      </c>
      <c r="F2" s="75"/>
      <c r="G2" s="744"/>
      <c r="H2" s="75"/>
      <c r="I2" s="742"/>
      <c r="J2" s="110" t="s">
        <v>290</v>
      </c>
      <c r="K2" s="110" t="s">
        <v>291</v>
      </c>
      <c r="L2" s="110" t="s">
        <v>292</v>
      </c>
      <c r="M2" s="110" t="s">
        <v>293</v>
      </c>
      <c r="N2" s="110" t="s">
        <v>294</v>
      </c>
      <c r="O2" s="110" t="s">
        <v>295</v>
      </c>
      <c r="P2" s="110" t="s">
        <v>296</v>
      </c>
      <c r="Q2" s="110" t="s">
        <v>297</v>
      </c>
      <c r="R2" s="75"/>
      <c r="S2" s="744"/>
      <c r="T2" s="75"/>
      <c r="U2" s="742"/>
      <c r="V2" s="110" t="s">
        <v>290</v>
      </c>
      <c r="W2" s="110" t="s">
        <v>291</v>
      </c>
      <c r="X2" s="110" t="s">
        <v>298</v>
      </c>
      <c r="Y2" s="110" t="s">
        <v>299</v>
      </c>
      <c r="Z2" s="75"/>
      <c r="AA2" s="744"/>
      <c r="AB2" s="75"/>
      <c r="AC2" s="745"/>
      <c r="AD2" s="746" t="s">
        <v>290</v>
      </c>
      <c r="AE2" s="110" t="s">
        <v>291</v>
      </c>
      <c r="AF2" s="746" t="s">
        <v>300</v>
      </c>
      <c r="AG2" s="75"/>
      <c r="AH2" s="744"/>
      <c r="AI2" s="75"/>
      <c r="AJ2" s="742"/>
      <c r="AK2" s="110"/>
      <c r="AL2" s="110" t="s">
        <v>129</v>
      </c>
      <c r="AM2" s="747"/>
      <c r="AN2" s="748"/>
      <c r="AO2" s="747"/>
      <c r="AP2" s="742"/>
      <c r="AQ2" s="110" t="s">
        <v>290</v>
      </c>
      <c r="AR2" s="110" t="s">
        <v>291</v>
      </c>
      <c r="AS2" s="110" t="s">
        <v>301</v>
      </c>
      <c r="AT2" s="110" t="s">
        <v>302</v>
      </c>
      <c r="AU2" s="110" t="s">
        <v>303</v>
      </c>
      <c r="AV2" s="110" t="s">
        <v>304</v>
      </c>
      <c r="AW2" s="110" t="s">
        <v>305</v>
      </c>
      <c r="AX2" s="110" t="s">
        <v>306</v>
      </c>
      <c r="AY2" s="749" t="s">
        <v>307</v>
      </c>
      <c r="AZ2" s="749" t="s">
        <v>308</v>
      </c>
      <c r="BA2" s="75"/>
      <c r="BB2" s="744"/>
      <c r="BC2" s="216"/>
      <c r="BD2" s="742"/>
      <c r="BE2" s="110" t="s">
        <v>309</v>
      </c>
      <c r="BF2" s="110" t="s">
        <v>310</v>
      </c>
      <c r="BG2" s="110" t="s">
        <v>311</v>
      </c>
      <c r="BH2" s="75"/>
      <c r="BI2" s="744"/>
      <c r="BJ2" s="75"/>
      <c r="BK2" s="742"/>
      <c r="BL2" s="110" t="s">
        <v>290</v>
      </c>
      <c r="BM2" s="110" t="s">
        <v>291</v>
      </c>
      <c r="BN2" s="110" t="str">
        <f>BE4</f>
        <v>Direct and Collector Labour Allocator</v>
      </c>
      <c r="BO2" s="110" t="s">
        <v>312</v>
      </c>
      <c r="BP2" s="110" t="str">
        <f>BE5</f>
        <v>Volume Allocator</v>
      </c>
      <c r="BQ2" s="110" t="s">
        <v>313</v>
      </c>
      <c r="BR2" s="110" t="s">
        <v>314</v>
      </c>
      <c r="BS2" s="110" t="s">
        <v>289</v>
      </c>
      <c r="BT2" s="75"/>
      <c r="BU2" s="744"/>
      <c r="BV2" s="75"/>
      <c r="BW2" s="742"/>
      <c r="BX2" s="141"/>
      <c r="BY2" s="110" t="s">
        <v>315</v>
      </c>
      <c r="BZ2" s="110" t="s">
        <v>316</v>
      </c>
      <c r="CA2" s="110" t="s">
        <v>317</v>
      </c>
      <c r="CB2" s="110" t="s">
        <v>318</v>
      </c>
      <c r="CC2" s="110" t="s">
        <v>319</v>
      </c>
      <c r="CD2" s="110" t="s">
        <v>320</v>
      </c>
      <c r="CE2" s="75"/>
      <c r="CF2" s="744"/>
      <c r="CG2" s="75"/>
      <c r="CH2" s="742"/>
      <c r="CI2" s="110" t="s">
        <v>290</v>
      </c>
      <c r="CJ2" s="110" t="s">
        <v>291</v>
      </c>
      <c r="CK2" s="110" t="s">
        <v>321</v>
      </c>
      <c r="CL2" s="110" t="s">
        <v>322</v>
      </c>
      <c r="CM2" s="110" t="s">
        <v>323</v>
      </c>
      <c r="CN2" s="110" t="s">
        <v>324</v>
      </c>
      <c r="CO2" s="110" t="s">
        <v>325</v>
      </c>
      <c r="CP2" s="110" t="s">
        <v>326</v>
      </c>
      <c r="CQ2" s="110" t="s">
        <v>289</v>
      </c>
      <c r="CR2" s="75"/>
      <c r="CS2" s="744"/>
      <c r="CT2" s="75"/>
      <c r="CU2" s="742"/>
      <c r="CV2" s="110" t="s">
        <v>327</v>
      </c>
      <c r="CW2" s="110" t="s">
        <v>326</v>
      </c>
      <c r="CX2" s="110" t="s">
        <v>296</v>
      </c>
      <c r="CY2" s="750" t="s">
        <v>321</v>
      </c>
      <c r="CZ2" s="110" t="str">
        <f>CW2</f>
        <v>Building Allocator</v>
      </c>
      <c r="DA2" s="110" t="str">
        <f>CX2</f>
        <v>Pallet Allocator</v>
      </c>
      <c r="DB2" s="110" t="str">
        <f>CY2</f>
        <v>Volume Allocator</v>
      </c>
      <c r="DC2" s="110" t="s">
        <v>328</v>
      </c>
      <c r="DD2" s="75"/>
      <c r="DE2" s="744"/>
      <c r="DF2" s="75"/>
      <c r="DG2" s="742"/>
      <c r="DH2" s="110" t="s">
        <v>290</v>
      </c>
      <c r="DI2" s="110" t="s">
        <v>291</v>
      </c>
      <c r="DJ2" s="110" t="s">
        <v>326</v>
      </c>
      <c r="DK2" s="110" t="s">
        <v>329</v>
      </c>
      <c r="DL2" s="110" t="s">
        <v>296</v>
      </c>
      <c r="DM2" s="110" t="s">
        <v>330</v>
      </c>
      <c r="DN2" s="110" t="s">
        <v>321</v>
      </c>
      <c r="DO2" s="110" t="s">
        <v>331</v>
      </c>
      <c r="DP2" s="110" t="s">
        <v>332</v>
      </c>
      <c r="DQ2" s="110" t="s">
        <v>333</v>
      </c>
      <c r="DR2" s="110" t="s">
        <v>289</v>
      </c>
      <c r="DS2" s="75"/>
      <c r="DT2" s="744"/>
      <c r="DU2" s="75"/>
      <c r="DV2" s="742"/>
      <c r="DW2" s="110" t="s">
        <v>290</v>
      </c>
      <c r="DX2" s="110" t="s">
        <v>291</v>
      </c>
      <c r="DY2" s="110" t="s">
        <v>296</v>
      </c>
      <c r="DZ2" s="110" t="s">
        <v>334</v>
      </c>
      <c r="EA2" s="110" t="s">
        <v>289</v>
      </c>
      <c r="EB2" s="75"/>
      <c r="EC2" s="744"/>
      <c r="ED2" s="75"/>
      <c r="EE2" s="751"/>
      <c r="EF2" s="110" t="s">
        <v>309</v>
      </c>
      <c r="EG2" s="110" t="s">
        <v>335</v>
      </c>
      <c r="EH2" s="110" t="s">
        <v>310</v>
      </c>
      <c r="EI2" s="110" t="s">
        <v>311</v>
      </c>
      <c r="EJ2" s="75"/>
      <c r="EK2" s="744"/>
      <c r="EL2" s="75"/>
      <c r="EM2" s="742"/>
      <c r="EN2" s="110" t="s">
        <v>290</v>
      </c>
      <c r="EO2" s="110" t="s">
        <v>291</v>
      </c>
      <c r="EP2" s="110" t="s">
        <v>299</v>
      </c>
      <c r="EQ2" s="110" t="s">
        <v>336</v>
      </c>
      <c r="ER2" s="110" t="s">
        <v>326</v>
      </c>
      <c r="ES2" s="110" t="s">
        <v>337</v>
      </c>
      <c r="ET2" s="110" t="s">
        <v>321</v>
      </c>
      <c r="EU2" s="110" t="s">
        <v>338</v>
      </c>
      <c r="EV2" s="110" t="s">
        <v>339</v>
      </c>
      <c r="EW2" s="110" t="s">
        <v>333</v>
      </c>
      <c r="EX2" s="110" t="s">
        <v>289</v>
      </c>
      <c r="EY2" s="75"/>
      <c r="EZ2" s="744"/>
      <c r="FA2" s="75"/>
      <c r="FB2" s="752"/>
      <c r="FC2" s="99" t="s">
        <v>128</v>
      </c>
      <c r="FD2" s="99" t="s">
        <v>340</v>
      </c>
      <c r="FE2" s="75"/>
      <c r="FF2" s="744"/>
      <c r="FG2" s="75"/>
      <c r="FH2" s="742"/>
      <c r="FI2" s="110" t="s">
        <v>290</v>
      </c>
      <c r="FJ2" s="110" t="s">
        <v>291</v>
      </c>
      <c r="FK2" s="110" t="str">
        <f>Y2</f>
        <v>Business Cost Allocator</v>
      </c>
      <c r="FL2" s="110" t="s">
        <v>341</v>
      </c>
      <c r="FM2" s="110" t="s">
        <v>289</v>
      </c>
      <c r="FN2" s="75"/>
      <c r="FQ2" s="742"/>
      <c r="FR2" s="110" t="s">
        <v>290</v>
      </c>
      <c r="FS2" s="110" t="s">
        <v>291</v>
      </c>
      <c r="FT2" s="110" t="s">
        <v>342</v>
      </c>
      <c r="FU2" s="110" t="s">
        <v>49</v>
      </c>
      <c r="FV2" s="110" t="s">
        <v>343</v>
      </c>
      <c r="FW2" s="110" t="s">
        <v>53</v>
      </c>
      <c r="FX2" s="110" t="s">
        <v>51</v>
      </c>
      <c r="FY2" s="110" t="s">
        <v>54</v>
      </c>
      <c r="FZ2" s="110" t="s">
        <v>340</v>
      </c>
      <c r="GA2" s="110" t="s">
        <v>344</v>
      </c>
      <c r="GB2" s="110" t="s">
        <v>289</v>
      </c>
      <c r="GC2" s="75"/>
      <c r="GF2" s="742"/>
      <c r="GG2" s="110" t="s">
        <v>290</v>
      </c>
      <c r="GH2" s="110" t="s">
        <v>291</v>
      </c>
      <c r="GI2" s="110" t="s">
        <v>345</v>
      </c>
      <c r="GJ2" s="110" t="s">
        <v>346</v>
      </c>
      <c r="GK2" s="110" t="s">
        <v>347</v>
      </c>
      <c r="GL2" s="110" t="s">
        <v>348</v>
      </c>
      <c r="GM2" s="110" t="s">
        <v>349</v>
      </c>
      <c r="GN2" s="110" t="s">
        <v>350</v>
      </c>
      <c r="GO2" s="110" t="s">
        <v>351</v>
      </c>
      <c r="GP2" s="110" t="s">
        <v>289</v>
      </c>
      <c r="GQ2" s="110" t="s">
        <v>119</v>
      </c>
      <c r="GR2" s="754"/>
      <c r="GU2" s="742"/>
      <c r="GV2" s="110" t="s">
        <v>290</v>
      </c>
      <c r="GW2" s="110" t="s">
        <v>291</v>
      </c>
      <c r="GX2" s="110" t="s">
        <v>297</v>
      </c>
      <c r="GY2" s="110" t="s">
        <v>344</v>
      </c>
      <c r="GZ2" s="110" t="s">
        <v>119</v>
      </c>
      <c r="HA2" s="110" t="s">
        <v>352</v>
      </c>
      <c r="HB2" s="110" t="s">
        <v>353</v>
      </c>
      <c r="HC2" s="110" t="s">
        <v>354</v>
      </c>
      <c r="HD2" s="75"/>
      <c r="HG2" s="742"/>
      <c r="HH2" s="110" t="s">
        <v>297</v>
      </c>
      <c r="HI2" s="110" t="s">
        <v>344</v>
      </c>
      <c r="HJ2" s="110" t="s">
        <v>119</v>
      </c>
      <c r="HK2" s="110" t="s">
        <v>353</v>
      </c>
      <c r="HL2" s="110" t="s">
        <v>354</v>
      </c>
      <c r="HM2" s="75"/>
      <c r="HP2" s="742"/>
      <c r="HQ2" s="756" t="s">
        <v>290</v>
      </c>
      <c r="HR2" s="756" t="str">
        <f>FS2</f>
        <v>Container Stream</v>
      </c>
      <c r="HS2" s="756" t="s">
        <v>119</v>
      </c>
      <c r="HT2" s="756" t="s">
        <v>355</v>
      </c>
      <c r="HU2" s="756" t="s">
        <v>356</v>
      </c>
      <c r="HV2" s="756" t="s">
        <v>74</v>
      </c>
      <c r="HW2" s="756" t="s">
        <v>357</v>
      </c>
      <c r="HX2" s="756" t="s">
        <v>358</v>
      </c>
      <c r="HY2" s="75"/>
      <c r="HZ2" s="744"/>
      <c r="IB2" s="757" t="s">
        <v>359</v>
      </c>
      <c r="IC2" s="757" t="s">
        <v>360</v>
      </c>
      <c r="ID2" s="757" t="s">
        <v>361</v>
      </c>
      <c r="IE2" s="757" t="s">
        <v>362</v>
      </c>
      <c r="IF2" s="757" t="s">
        <v>363</v>
      </c>
      <c r="IG2" s="757" t="s">
        <v>287</v>
      </c>
      <c r="IH2" s="757" t="s">
        <v>364</v>
      </c>
      <c r="II2" s="757" t="s">
        <v>365</v>
      </c>
      <c r="IJ2" s="757" t="s">
        <v>366</v>
      </c>
      <c r="IK2" s="757" t="s">
        <v>367</v>
      </c>
      <c r="IL2" s="75"/>
      <c r="IM2" s="744"/>
      <c r="IN2" s="75"/>
      <c r="IO2" s="758"/>
      <c r="IP2" s="757" t="s">
        <v>290</v>
      </c>
      <c r="IQ2" s="757" t="s">
        <v>291</v>
      </c>
      <c r="IR2" s="757" t="s">
        <v>344</v>
      </c>
      <c r="IS2" s="757" t="s">
        <v>119</v>
      </c>
      <c r="IT2" s="757" t="s">
        <v>368</v>
      </c>
      <c r="IU2" s="757" t="s">
        <v>369</v>
      </c>
      <c r="IV2" s="757" t="s">
        <v>370</v>
      </c>
      <c r="IW2" s="757" t="s">
        <v>371</v>
      </c>
      <c r="IX2" s="759" t="s">
        <v>372</v>
      </c>
      <c r="IY2" s="759" t="s">
        <v>373</v>
      </c>
      <c r="IZ2" s="759" t="s">
        <v>374</v>
      </c>
      <c r="JA2" s="759" t="s">
        <v>375</v>
      </c>
      <c r="JB2" s="759" t="s">
        <v>376</v>
      </c>
      <c r="JF2" s="742"/>
      <c r="JG2" s="756" t="s">
        <v>290</v>
      </c>
      <c r="JH2" s="756" t="str">
        <f>FS2</f>
        <v>Container Stream</v>
      </c>
      <c r="JI2" s="756" t="s">
        <v>119</v>
      </c>
      <c r="JJ2" s="756" t="s">
        <v>377</v>
      </c>
      <c r="JK2" s="756" t="s">
        <v>378</v>
      </c>
      <c r="JL2" s="756" t="s">
        <v>74</v>
      </c>
      <c r="JM2" s="756" t="s">
        <v>357</v>
      </c>
      <c r="JN2" s="756" t="s">
        <v>358</v>
      </c>
    </row>
    <row r="3" spans="1:277" ht="16.5" customHeight="1" x14ac:dyDescent="0.3">
      <c r="A3" s="760" t="s">
        <v>135</v>
      </c>
      <c r="B3" s="183" t="s">
        <v>136</v>
      </c>
      <c r="C3" s="183" t="s">
        <v>137</v>
      </c>
      <c r="D3" s="183" t="s">
        <v>161</v>
      </c>
      <c r="E3" s="183" t="s">
        <v>139</v>
      </c>
      <c r="F3" s="158"/>
      <c r="G3" s="761"/>
      <c r="H3" s="158"/>
      <c r="I3" s="760" t="s">
        <v>135</v>
      </c>
      <c r="J3" s="183" t="s">
        <v>136</v>
      </c>
      <c r="K3" s="183" t="s">
        <v>137</v>
      </c>
      <c r="L3" s="183" t="s">
        <v>149</v>
      </c>
      <c r="M3" s="183" t="s">
        <v>139</v>
      </c>
      <c r="N3" s="183" t="s">
        <v>140</v>
      </c>
      <c r="O3" s="183" t="s">
        <v>141</v>
      </c>
      <c r="P3" s="183" t="s">
        <v>142</v>
      </c>
      <c r="Q3" s="181" t="s">
        <v>143</v>
      </c>
      <c r="R3" s="158"/>
      <c r="S3" s="761"/>
      <c r="T3" s="158"/>
      <c r="U3" s="760" t="s">
        <v>135</v>
      </c>
      <c r="V3" s="183" t="s">
        <v>136</v>
      </c>
      <c r="W3" s="183" t="s">
        <v>137</v>
      </c>
      <c r="X3" s="183" t="s">
        <v>149</v>
      </c>
      <c r="Y3" s="183" t="s">
        <v>139</v>
      </c>
      <c r="Z3" s="158"/>
      <c r="AA3" s="761"/>
      <c r="AB3" s="158"/>
      <c r="AC3" s="760" t="s">
        <v>135</v>
      </c>
      <c r="AD3" s="183" t="s">
        <v>136</v>
      </c>
      <c r="AE3" s="183" t="s">
        <v>137</v>
      </c>
      <c r="AF3" s="183" t="s">
        <v>149</v>
      </c>
      <c r="AG3" s="158"/>
      <c r="AH3" s="761"/>
      <c r="AI3" s="158"/>
      <c r="AJ3" s="760" t="s">
        <v>135</v>
      </c>
      <c r="AK3" s="183" t="s">
        <v>136</v>
      </c>
      <c r="AL3" s="183" t="s">
        <v>137</v>
      </c>
      <c r="AM3" s="762"/>
      <c r="AN3" s="763"/>
      <c r="AO3" s="762"/>
      <c r="AP3" s="764" t="s">
        <v>135</v>
      </c>
      <c r="AQ3" s="183" t="s">
        <v>136</v>
      </c>
      <c r="AR3" s="183" t="s">
        <v>137</v>
      </c>
      <c r="AS3" s="183" t="s">
        <v>149</v>
      </c>
      <c r="AT3" s="765" t="s">
        <v>139</v>
      </c>
      <c r="AU3" s="183" t="s">
        <v>140</v>
      </c>
      <c r="AV3" s="183" t="s">
        <v>141</v>
      </c>
      <c r="AW3" s="183" t="s">
        <v>142</v>
      </c>
      <c r="AX3" s="183" t="s">
        <v>143</v>
      </c>
      <c r="AY3" s="158" t="s">
        <v>145</v>
      </c>
      <c r="AZ3" s="158" t="s">
        <v>144</v>
      </c>
      <c r="BA3" s="158"/>
      <c r="BB3" s="761"/>
      <c r="BC3" s="181"/>
      <c r="BD3" s="760" t="s">
        <v>135</v>
      </c>
      <c r="BE3" s="183" t="s">
        <v>136</v>
      </c>
      <c r="BF3" s="183" t="s">
        <v>149</v>
      </c>
      <c r="BG3" s="183" t="s">
        <v>139</v>
      </c>
      <c r="BH3" s="158"/>
      <c r="BI3" s="761"/>
      <c r="BJ3" s="158"/>
      <c r="BK3" s="760" t="s">
        <v>135</v>
      </c>
      <c r="BL3" s="183" t="s">
        <v>136</v>
      </c>
      <c r="BM3" s="183" t="s">
        <v>137</v>
      </c>
      <c r="BN3" s="183" t="s">
        <v>161</v>
      </c>
      <c r="BO3" s="183" t="s">
        <v>139</v>
      </c>
      <c r="BP3" s="183" t="s">
        <v>140</v>
      </c>
      <c r="BQ3" s="183" t="s">
        <v>141</v>
      </c>
      <c r="BR3" s="181" t="s">
        <v>142</v>
      </c>
      <c r="BS3" s="181" t="s">
        <v>143</v>
      </c>
      <c r="BT3" s="158"/>
      <c r="BU3" s="761"/>
      <c r="BV3" s="158"/>
      <c r="BW3" s="760" t="s">
        <v>135</v>
      </c>
      <c r="BX3" s="183" t="s">
        <v>136</v>
      </c>
      <c r="BY3" s="183" t="s">
        <v>137</v>
      </c>
      <c r="BZ3" s="183" t="s">
        <v>149</v>
      </c>
      <c r="CA3" s="183" t="s">
        <v>139</v>
      </c>
      <c r="CB3" s="183" t="s">
        <v>140</v>
      </c>
      <c r="CC3" s="183" t="s">
        <v>141</v>
      </c>
      <c r="CD3" s="183" t="s">
        <v>142</v>
      </c>
      <c r="CE3" s="158"/>
      <c r="CF3" s="761"/>
      <c r="CG3" s="158"/>
      <c r="CH3" s="760" t="s">
        <v>135</v>
      </c>
      <c r="CI3" s="183" t="s">
        <v>136</v>
      </c>
      <c r="CJ3" s="183" t="s">
        <v>137</v>
      </c>
      <c r="CK3" s="183" t="s">
        <v>149</v>
      </c>
      <c r="CL3" s="183" t="s">
        <v>139</v>
      </c>
      <c r="CM3" s="183" t="s">
        <v>140</v>
      </c>
      <c r="CN3" s="183" t="s">
        <v>141</v>
      </c>
      <c r="CO3" s="183" t="s">
        <v>142</v>
      </c>
      <c r="CP3" s="183" t="s">
        <v>143</v>
      </c>
      <c r="CQ3" s="183" t="s">
        <v>144</v>
      </c>
      <c r="CR3" s="158"/>
      <c r="CS3" s="761"/>
      <c r="CT3" s="158"/>
      <c r="CU3" s="760" t="s">
        <v>135</v>
      </c>
      <c r="CV3" s="183" t="s">
        <v>136</v>
      </c>
      <c r="CW3" s="183" t="s">
        <v>137</v>
      </c>
      <c r="CX3" s="183" t="s">
        <v>161</v>
      </c>
      <c r="CY3" s="183" t="s">
        <v>139</v>
      </c>
      <c r="CZ3" s="183" t="s">
        <v>162</v>
      </c>
      <c r="DA3" s="183" t="s">
        <v>379</v>
      </c>
      <c r="DB3" s="183" t="s">
        <v>142</v>
      </c>
      <c r="DC3" s="183" t="s">
        <v>380</v>
      </c>
      <c r="DD3" s="158"/>
      <c r="DE3" s="761"/>
      <c r="DF3" s="158"/>
      <c r="DG3" s="760" t="s">
        <v>135</v>
      </c>
      <c r="DH3" s="183" t="s">
        <v>136</v>
      </c>
      <c r="DI3" s="183" t="s">
        <v>137</v>
      </c>
      <c r="DJ3" s="183" t="s">
        <v>149</v>
      </c>
      <c r="DK3" s="183" t="s">
        <v>139</v>
      </c>
      <c r="DL3" s="183" t="s">
        <v>140</v>
      </c>
      <c r="DM3" s="183" t="s">
        <v>141</v>
      </c>
      <c r="DN3" s="183" t="s">
        <v>142</v>
      </c>
      <c r="DO3" s="183" t="s">
        <v>143</v>
      </c>
      <c r="DP3" s="183" t="s">
        <v>144</v>
      </c>
      <c r="DQ3" s="183" t="s">
        <v>145</v>
      </c>
      <c r="DR3" s="183" t="s">
        <v>146</v>
      </c>
      <c r="DS3" s="158"/>
      <c r="DT3" s="761"/>
      <c r="DU3" s="158"/>
      <c r="DV3" s="760" t="s">
        <v>135</v>
      </c>
      <c r="DW3" s="183" t="s">
        <v>136</v>
      </c>
      <c r="DX3" s="183" t="s">
        <v>137</v>
      </c>
      <c r="DY3" s="183" t="s">
        <v>149</v>
      </c>
      <c r="DZ3" s="183" t="s">
        <v>139</v>
      </c>
      <c r="EA3" s="183" t="s">
        <v>162</v>
      </c>
      <c r="EB3" s="158"/>
      <c r="EC3" s="761"/>
      <c r="ED3" s="158"/>
      <c r="EE3" s="760" t="s">
        <v>135</v>
      </c>
      <c r="EF3" s="183" t="s">
        <v>136</v>
      </c>
      <c r="EG3" s="183" t="s">
        <v>137</v>
      </c>
      <c r="EH3" s="183" t="s">
        <v>149</v>
      </c>
      <c r="EI3" s="183" t="s">
        <v>139</v>
      </c>
      <c r="EJ3" s="158"/>
      <c r="EK3" s="761"/>
      <c r="EL3" s="158"/>
      <c r="EM3" s="760" t="s">
        <v>135</v>
      </c>
      <c r="EN3" s="183" t="s">
        <v>136</v>
      </c>
      <c r="EO3" s="183" t="s">
        <v>137</v>
      </c>
      <c r="EP3" s="183" t="s">
        <v>149</v>
      </c>
      <c r="EQ3" s="183" t="s">
        <v>139</v>
      </c>
      <c r="ER3" s="183" t="s">
        <v>140</v>
      </c>
      <c r="ES3" s="183" t="s">
        <v>141</v>
      </c>
      <c r="ET3" s="183" t="s">
        <v>142</v>
      </c>
      <c r="EU3" s="183" t="s">
        <v>143</v>
      </c>
      <c r="EV3" s="183" t="s">
        <v>144</v>
      </c>
      <c r="EW3" s="183" t="s">
        <v>145</v>
      </c>
      <c r="EX3" s="183" t="s">
        <v>146</v>
      </c>
      <c r="EY3" s="158"/>
      <c r="EZ3" s="761"/>
      <c r="FA3" s="158"/>
      <c r="FB3" s="760" t="s">
        <v>135</v>
      </c>
      <c r="FC3" s="183" t="s">
        <v>136</v>
      </c>
      <c r="FD3" s="183" t="s">
        <v>137</v>
      </c>
      <c r="FE3" s="158"/>
      <c r="FF3" s="761"/>
      <c r="FG3" s="158"/>
      <c r="FH3" s="760" t="s">
        <v>135</v>
      </c>
      <c r="FI3" s="183" t="s">
        <v>136</v>
      </c>
      <c r="FJ3" s="183" t="s">
        <v>137</v>
      </c>
      <c r="FK3" s="183" t="s">
        <v>149</v>
      </c>
      <c r="FL3" s="183" t="s">
        <v>139</v>
      </c>
      <c r="FM3" s="183" t="s">
        <v>162</v>
      </c>
      <c r="FN3" s="158"/>
      <c r="FO3" s="766"/>
      <c r="FP3" s="95"/>
      <c r="FQ3" s="760" t="s">
        <v>135</v>
      </c>
      <c r="FR3" s="183" t="s">
        <v>136</v>
      </c>
      <c r="FS3" s="183" t="s">
        <v>137</v>
      </c>
      <c r="FT3" s="183" t="s">
        <v>149</v>
      </c>
      <c r="FU3" s="765" t="s">
        <v>139</v>
      </c>
      <c r="FV3" s="183" t="s">
        <v>140</v>
      </c>
      <c r="FW3" s="183" t="s">
        <v>141</v>
      </c>
      <c r="FX3" s="181" t="s">
        <v>142</v>
      </c>
      <c r="FY3" s="181" t="s">
        <v>143</v>
      </c>
      <c r="FZ3" s="181" t="s">
        <v>144</v>
      </c>
      <c r="GA3" s="767" t="s">
        <v>145</v>
      </c>
      <c r="GB3" s="183" t="s">
        <v>146</v>
      </c>
      <c r="GC3" s="762"/>
      <c r="GD3" s="766"/>
      <c r="GE3" s="95"/>
      <c r="GF3" s="760" t="s">
        <v>135</v>
      </c>
      <c r="GG3" s="183" t="s">
        <v>136</v>
      </c>
      <c r="GH3" s="183" t="s">
        <v>137</v>
      </c>
      <c r="GI3" s="183" t="s">
        <v>149</v>
      </c>
      <c r="GJ3" s="183" t="s">
        <v>139</v>
      </c>
      <c r="GK3" s="765" t="s">
        <v>140</v>
      </c>
      <c r="GL3" s="183" t="s">
        <v>141</v>
      </c>
      <c r="GM3" s="183" t="s">
        <v>142</v>
      </c>
      <c r="GN3" s="181" t="s">
        <v>143</v>
      </c>
      <c r="GO3" s="181" t="s">
        <v>144</v>
      </c>
      <c r="GP3" s="181" t="s">
        <v>145</v>
      </c>
      <c r="GQ3" s="183" t="s">
        <v>146</v>
      </c>
      <c r="GU3" s="760" t="s">
        <v>135</v>
      </c>
      <c r="GV3" s="183" t="s">
        <v>136</v>
      </c>
      <c r="GW3" s="183" t="s">
        <v>137</v>
      </c>
      <c r="GX3" s="183" t="s">
        <v>149</v>
      </c>
      <c r="GY3" s="767" t="s">
        <v>139</v>
      </c>
      <c r="GZ3" s="183" t="s">
        <v>140</v>
      </c>
      <c r="HA3" s="183" t="s">
        <v>141</v>
      </c>
      <c r="HB3" s="183" t="s">
        <v>142</v>
      </c>
      <c r="HC3" s="183" t="s">
        <v>143</v>
      </c>
      <c r="HD3" s="762"/>
      <c r="HG3" s="760" t="s">
        <v>135</v>
      </c>
      <c r="HH3" s="183" t="s">
        <v>136</v>
      </c>
      <c r="HI3" s="183" t="s">
        <v>137</v>
      </c>
      <c r="HJ3" s="183" t="s">
        <v>149</v>
      </c>
      <c r="HK3" s="767" t="s">
        <v>139</v>
      </c>
      <c r="HL3" s="183" t="s">
        <v>140</v>
      </c>
      <c r="HM3" s="762"/>
      <c r="HP3" s="760" t="s">
        <v>135</v>
      </c>
      <c r="HQ3" s="183" t="s">
        <v>136</v>
      </c>
      <c r="HR3" s="183" t="s">
        <v>137</v>
      </c>
      <c r="HS3" s="183" t="s">
        <v>149</v>
      </c>
      <c r="HT3" s="183" t="s">
        <v>139</v>
      </c>
      <c r="HU3" s="183" t="s">
        <v>140</v>
      </c>
      <c r="HV3" s="765" t="s">
        <v>141</v>
      </c>
      <c r="HW3" s="765" t="s">
        <v>142</v>
      </c>
      <c r="HX3" s="765" t="s">
        <v>143</v>
      </c>
      <c r="HY3" s="158"/>
      <c r="HZ3" s="761"/>
      <c r="IB3" s="183" t="s">
        <v>136</v>
      </c>
      <c r="IC3" s="183" t="s">
        <v>137</v>
      </c>
      <c r="ID3" s="183" t="s">
        <v>149</v>
      </c>
      <c r="IE3" s="183" t="s">
        <v>139</v>
      </c>
      <c r="IF3" s="183" t="s">
        <v>140</v>
      </c>
      <c r="IG3" s="183" t="s">
        <v>141</v>
      </c>
      <c r="IH3" s="183" t="s">
        <v>142</v>
      </c>
      <c r="II3" s="183" t="s">
        <v>143</v>
      </c>
      <c r="IJ3" s="183" t="s">
        <v>144</v>
      </c>
      <c r="IK3" s="183" t="s">
        <v>145</v>
      </c>
      <c r="IL3" s="158"/>
      <c r="IM3" s="761"/>
      <c r="IN3" s="158"/>
      <c r="IO3" s="760" t="s">
        <v>135</v>
      </c>
      <c r="IP3" s="183" t="s">
        <v>136</v>
      </c>
      <c r="IQ3" s="183" t="s">
        <v>137</v>
      </c>
      <c r="IR3" s="183" t="s">
        <v>149</v>
      </c>
      <c r="IS3" s="183" t="s">
        <v>139</v>
      </c>
      <c r="IT3" s="183" t="s">
        <v>140</v>
      </c>
      <c r="IU3" s="183" t="s">
        <v>141</v>
      </c>
      <c r="IV3" s="181" t="s">
        <v>142</v>
      </c>
      <c r="IW3" s="181" t="s">
        <v>143</v>
      </c>
      <c r="IX3" s="181" t="s">
        <v>144</v>
      </c>
      <c r="IY3" s="181" t="s">
        <v>145</v>
      </c>
      <c r="IZ3" s="181" t="s">
        <v>146</v>
      </c>
      <c r="JA3" s="181" t="s">
        <v>147</v>
      </c>
      <c r="JB3" s="181" t="s">
        <v>148</v>
      </c>
      <c r="JF3" s="760" t="s">
        <v>135</v>
      </c>
      <c r="JG3" s="183" t="s">
        <v>136</v>
      </c>
      <c r="JH3" s="183" t="s">
        <v>137</v>
      </c>
      <c r="JI3" s="183" t="s">
        <v>149</v>
      </c>
      <c r="JJ3" s="183" t="s">
        <v>139</v>
      </c>
      <c r="JK3" s="183" t="s">
        <v>140</v>
      </c>
      <c r="JL3" s="765" t="s">
        <v>141</v>
      </c>
      <c r="JM3" s="765" t="s">
        <v>142</v>
      </c>
      <c r="JN3" s="765" t="s">
        <v>143</v>
      </c>
    </row>
    <row r="4" spans="1:277" ht="17.25" thickBot="1" x14ac:dyDescent="0.35">
      <c r="A4" s="768">
        <v>1</v>
      </c>
      <c r="B4" s="769" t="s">
        <v>47</v>
      </c>
      <c r="C4" s="339">
        <f>'Phase I Schedules'!MF14</f>
        <v>42774511.97924985</v>
      </c>
      <c r="D4" s="770">
        <f t="shared" ref="D4:D12" si="0">C4/$C$13</f>
        <v>0.30655863039671605</v>
      </c>
      <c r="E4" s="771">
        <v>1.9132236990814733</v>
      </c>
      <c r="I4" s="294">
        <v>1</v>
      </c>
      <c r="J4" s="772">
        <f t="shared" ref="J4:J28" si="1">FR4</f>
        <v>1</v>
      </c>
      <c r="K4" s="17" t="s">
        <v>404</v>
      </c>
      <c r="L4" s="427">
        <v>1153717143</v>
      </c>
      <c r="M4" s="301">
        <f t="shared" ref="M4:M28" si="2">L4/$L$29</f>
        <v>0.51603604059701524</v>
      </c>
      <c r="N4" s="427">
        <v>2144</v>
      </c>
      <c r="O4" s="427">
        <f>IFERROR(L4/N4,0)</f>
        <v>538114.33908582095</v>
      </c>
      <c r="P4" s="301">
        <f t="shared" ref="P4:P28" si="3">O4/$O$29</f>
        <v>0.29177106546928483</v>
      </c>
      <c r="Q4" s="278" t="s">
        <v>385</v>
      </c>
      <c r="U4" s="773">
        <v>1</v>
      </c>
      <c r="V4" s="774">
        <f t="shared" ref="V4:V27" si="4">FR4</f>
        <v>1</v>
      </c>
      <c r="W4" s="17" t="s">
        <v>404</v>
      </c>
      <c r="X4" s="303">
        <f>SUM(FT4:FX4)</f>
        <v>36876644.763720311</v>
      </c>
      <c r="Y4" s="301">
        <f t="shared" ref="Y4:Y28" si="5">SUM(FT4:FX4)/SUM($FT$29:$FX$29)</f>
        <v>0.35600318052546376</v>
      </c>
      <c r="AC4" s="773">
        <v>1</v>
      </c>
      <c r="AD4" s="95">
        <v>1</v>
      </c>
      <c r="AE4" s="305" t="s">
        <v>404</v>
      </c>
      <c r="AF4" s="330">
        <v>2.2000000000000002</v>
      </c>
      <c r="AJ4" s="773">
        <v>1</v>
      </c>
      <c r="AK4" s="775" t="s">
        <v>382</v>
      </c>
      <c r="AL4" s="776">
        <f>C4+C5</f>
        <v>45034763.486475937</v>
      </c>
      <c r="AM4" s="777"/>
      <c r="AN4" s="778"/>
      <c r="AO4" s="777"/>
      <c r="AP4" s="773">
        <v>1</v>
      </c>
      <c r="AQ4" s="779">
        <f t="shared" ref="AQ4:AQ27" si="6">FR4</f>
        <v>1</v>
      </c>
      <c r="AR4" s="17" t="s">
        <v>404</v>
      </c>
      <c r="AS4" s="17">
        <f t="shared" ref="AS4:AS28" si="7">VLOOKUP(AQ4,$AD$4:$AF$28,$AS$31,FALSE)</f>
        <v>2.2000000000000002</v>
      </c>
      <c r="AT4" s="780">
        <v>1153717143</v>
      </c>
      <c r="AU4" s="780">
        <f>AT4*AS4/3600</f>
        <v>705049.3651666668</v>
      </c>
      <c r="AV4" s="781">
        <f t="shared" ref="AV4:AV28" si="8">AU4*$AL$5/$AU$29</f>
        <v>693534.77386545273</v>
      </c>
      <c r="AW4" s="782">
        <f t="shared" ref="AW4:AW28" si="9">$AL$6</f>
        <v>21.511220758941374</v>
      </c>
      <c r="AX4" s="303">
        <f>AV4*AW4</f>
        <v>14918779.624622239</v>
      </c>
      <c r="AY4" s="301">
        <f t="shared" ref="AY4:AY29" si="10">AX4/$AX$29</f>
        <v>0.33127252081833164</v>
      </c>
      <c r="AZ4" s="299">
        <f t="shared" ref="AZ4:AZ28" si="11">IF($AT4=0,0,ROUND(IF(VLOOKUP(AQ4,$AQ$4:$AT$28,$AZ$31,FALSE)&lt;&gt;0,AX4/VLOOKUP(AQ4,$AQ$4:$AT$28,$AZ$31,FALSE)*100,""),6))</f>
        <v>1.2931049999999999</v>
      </c>
      <c r="BD4" s="294">
        <v>1</v>
      </c>
      <c r="BE4" s="17" t="str">
        <f>AY2</f>
        <v>Direct and Collector Labour Allocator</v>
      </c>
      <c r="BF4" s="301">
        <v>0.5</v>
      </c>
      <c r="BG4" s="303">
        <f>BF4*$BG$6</f>
        <v>9369173.0225375015</v>
      </c>
      <c r="BK4" s="294">
        <v>1</v>
      </c>
      <c r="BL4" s="278">
        <f t="shared" ref="BL4:BL27" si="12">FR4</f>
        <v>1</v>
      </c>
      <c r="BM4" s="17" t="s">
        <v>404</v>
      </c>
      <c r="BN4" s="301">
        <f t="shared" ref="BN4:BN28" si="13">VLOOKUP(BL4,$AQ$4:$AY$28,$BN$34,FALSE)</f>
        <v>0.33127252081833164</v>
      </c>
      <c r="BO4" s="303">
        <f t="shared" ref="BO4:BO28" si="14">BN4*$BO$29</f>
        <v>3103749.5651591057</v>
      </c>
      <c r="BP4" s="301">
        <f t="shared" ref="BP4:BP28" si="15">VLOOKUP(BL4,$J$4:$M$28,$BP$34,FALSE)</f>
        <v>0.51603604059701524</v>
      </c>
      <c r="BQ4" s="303">
        <f t="shared" ref="BQ4:BQ28" si="16">BP4*$BQ$29</f>
        <v>4834830.9502186226</v>
      </c>
      <c r="BR4" s="530">
        <f t="shared" ref="BR4:BR28" si="17">BQ4+BO4</f>
        <v>7938580.5153777283</v>
      </c>
      <c r="BS4" s="299">
        <f t="shared" ref="BS4:BS28" si="18">IF($AT4=0,0,ROUND(IF(VLOOKUP(BL4,$AQ$4:$AT$28,$AZ$31,FALSE)&lt;&gt;0,BR4/VLOOKUP(BL4,$AQ$4:$AT$28,$AZ$31,FALSE)*100,""),6))</f>
        <v>0.688087</v>
      </c>
      <c r="BW4" s="294">
        <v>1</v>
      </c>
      <c r="BX4" s="17" t="s">
        <v>383</v>
      </c>
      <c r="BY4" s="783">
        <v>7.3808394467097971E-2</v>
      </c>
      <c r="BZ4" s="784">
        <f>BY4*$BZ$9</f>
        <v>2008125.7886591686</v>
      </c>
      <c r="CA4" s="785">
        <v>1</v>
      </c>
      <c r="CB4" s="785"/>
      <c r="CC4" s="784">
        <f t="shared" ref="CC4:CD8" si="19">CA4*$BZ4</f>
        <v>2008125.7886591686</v>
      </c>
      <c r="CD4" s="784">
        <f t="shared" si="19"/>
        <v>0</v>
      </c>
      <c r="CH4" s="294">
        <v>1</v>
      </c>
      <c r="CI4" s="95">
        <f t="shared" ref="CI4:CI27" si="20">FR4</f>
        <v>1</v>
      </c>
      <c r="CJ4" s="17" t="s">
        <v>404</v>
      </c>
      <c r="CK4" s="301">
        <f t="shared" ref="CK4:CK28" si="21">VLOOKUP(CI4,$J$4:$M$28,$CK$33,FALSE)</f>
        <v>0.51603604059701524</v>
      </c>
      <c r="CL4" s="303">
        <f t="shared" ref="CL4:CL28" si="22">CK4*$CL$29</f>
        <v>3239020.4302639961</v>
      </c>
      <c r="CM4" s="301">
        <f t="shared" ref="CM4:CM28" si="23">VLOOKUP(CI4,$J$4:$P$28,$CM$33,FALSE)</f>
        <v>0.29177106546928483</v>
      </c>
      <c r="CN4" s="303">
        <f t="shared" ref="CN4:CN28" si="24">CM4*$CN$29</f>
        <v>6106928.5373738213</v>
      </c>
      <c r="CO4" s="303">
        <f t="shared" ref="CO4:CO28" si="25">CN4+CL4</f>
        <v>9345948.9676378183</v>
      </c>
      <c r="CP4" s="301">
        <f t="shared" ref="CP4:CP28" si="26">CO4/$CO$29</f>
        <v>0.34350910285025837</v>
      </c>
      <c r="CQ4" s="299">
        <f t="shared" ref="CQ4:CQ28" si="27">IF($AT4=0,0,ROUND(IF(VLOOKUP(CI4,$AQ$4:$AT$28,$AZ$31,FALSE)&lt;&gt;0,CO4/VLOOKUP(CI4,$AQ$4:$AT$28,$AZ$31,FALSE)*100,""),6))</f>
        <v>0.81007300000000004</v>
      </c>
      <c r="CU4" s="294">
        <v>1</v>
      </c>
      <c r="CV4" s="22" t="s">
        <v>381</v>
      </c>
      <c r="CW4" s="301">
        <v>0</v>
      </c>
      <c r="CX4" s="301">
        <v>0.5</v>
      </c>
      <c r="CY4" s="457">
        <v>0.5</v>
      </c>
      <c r="CZ4" s="303">
        <f>CW4*$DC4</f>
        <v>0</v>
      </c>
      <c r="DA4" s="303">
        <f t="shared" ref="CZ4:DB6" si="28">CX4*$DC4</f>
        <v>3581872.2978801923</v>
      </c>
      <c r="DB4" s="303">
        <f t="shared" si="28"/>
        <v>3581872.2978801923</v>
      </c>
      <c r="DC4" s="303">
        <v>7163744.5957603846</v>
      </c>
      <c r="DG4" s="773">
        <v>1</v>
      </c>
      <c r="DH4" s="786">
        <f t="shared" ref="DH4:DH27" si="29">FR4</f>
        <v>1</v>
      </c>
      <c r="DI4" s="17" t="s">
        <v>404</v>
      </c>
      <c r="DJ4" s="301">
        <f t="shared" ref="DJ4:DJ28" si="30">VLOOKUP(DH4,$CI$4:$CP$28,$DJ$34,FALSE)</f>
        <v>0.34350910285025837</v>
      </c>
      <c r="DK4" s="303">
        <f t="shared" ref="DK4:DK28" si="31">DJ4*$DK$29</f>
        <v>109113.60584087548</v>
      </c>
      <c r="DL4" s="301">
        <f t="shared" ref="DL4:DL28" si="32">VLOOKUP(DH4,$J$4:$Q$28,$DL$34,FALSE)</f>
        <v>0.29177106546928483</v>
      </c>
      <c r="DM4" s="303">
        <f t="shared" ref="DM4:DM28" si="33">DL4*$DM$29</f>
        <v>1045086.6967274193</v>
      </c>
      <c r="DN4" s="301">
        <f t="shared" ref="DN4:DN28" si="34">VLOOKUP(DH4,$J$4:$Q$28,$DN$34,FALSE)</f>
        <v>0.51603604059701524</v>
      </c>
      <c r="DO4" s="303">
        <f t="shared" ref="DO4:DO28" si="35">DN4*$DO$29</f>
        <v>2253140.0729291029</v>
      </c>
      <c r="DP4" s="303">
        <f>DK4+DM4+DO4</f>
        <v>3407340.375497398</v>
      </c>
      <c r="DQ4" s="301">
        <f t="shared" ref="DQ4:DQ28" si="36">DP4/$DP$29</f>
        <v>0.41222338994718644</v>
      </c>
      <c r="DR4" s="299">
        <f t="shared" ref="DR4:DR28" si="37">IF($AT4=0,0,ROUND(IF(VLOOKUP(DH4,$AQ$4:$AT$28,$AZ$31,FALSE)&lt;&gt;0,DP4/VLOOKUP(DH4,$AQ$4:$AT$28,$AZ$31,FALSE)*100,""),6))</f>
        <v>0.29533599999999999</v>
      </c>
      <c r="DV4" s="773">
        <v>1</v>
      </c>
      <c r="DW4" s="786">
        <f t="shared" ref="DW4:DW27" si="38">GG4</f>
        <v>1</v>
      </c>
      <c r="DX4" s="17" t="s">
        <v>404</v>
      </c>
      <c r="DY4" s="301">
        <f t="shared" ref="DY4:DY28" si="39">VLOOKUP(DW4,$J$4:$Q$28,$DY$34,FALSE)</f>
        <v>0.29177106546928483</v>
      </c>
      <c r="DZ4" s="303">
        <f t="shared" ref="DZ4:DZ28" si="40">DY4*$DZ$29</f>
        <v>1265995.2805851253</v>
      </c>
      <c r="EA4" s="299">
        <f t="shared" ref="EA4:EA28" si="41">IF($AT4=0,0,ROUND(IF(VLOOKUP(DW4,$AQ$4:$AT$28,$AZ$31,FALSE)&lt;&gt;0,DZ4/VLOOKUP(DW4,$AQ$4:$AT$28,$AZ$31,FALSE)*100,""),6))</f>
        <v>0.109732</v>
      </c>
      <c r="EE4" s="294">
        <v>1</v>
      </c>
      <c r="EF4" s="17" t="s">
        <v>384</v>
      </c>
      <c r="EG4" s="303">
        <v>7795048.5251333332</v>
      </c>
      <c r="EH4" s="783">
        <f>EG4/$EG$7</f>
        <v>0.60845399602186834</v>
      </c>
      <c r="EI4" s="303">
        <f>EH4*$EI$7</f>
        <v>8349958.7810262442</v>
      </c>
      <c r="EM4" s="773">
        <v>1</v>
      </c>
      <c r="EN4" s="786">
        <f t="shared" ref="EN4:EN27" si="42">FR4</f>
        <v>1</v>
      </c>
      <c r="EO4" s="17" t="s">
        <v>404</v>
      </c>
      <c r="EP4" s="301">
        <f t="shared" ref="EP4:EP28" si="43">VLOOKUP(EN4,$V$4:$Y$28,$EP$34,FALSE)</f>
        <v>0.35600318052546376</v>
      </c>
      <c r="EQ4" s="303">
        <f t="shared" ref="EQ4:EQ28" si="44">EP4*$EQ$29</f>
        <v>2972611.8833018672</v>
      </c>
      <c r="ER4" s="301">
        <f t="shared" ref="ER4:ER28" si="45">VLOOKUP(EN4,$CI$4:$CP$28,$ER$34,FALSE)</f>
        <v>0.34350910285025837</v>
      </c>
      <c r="ES4" s="303">
        <f t="shared" ref="ES4:ES28" si="46">ER4*$ES$29</f>
        <v>376562.33121811732</v>
      </c>
      <c r="ET4" s="301">
        <f t="shared" ref="ET4:ET28" si="47">VLOOKUP(EN4,$J$4:$M$28,$ET$34,FALSE)</f>
        <v>0.51603604059701524</v>
      </c>
      <c r="EU4" s="303">
        <f t="shared" ref="EU4:EU28" si="48">ET4*$EU$29</f>
        <v>2207115.3440061444</v>
      </c>
      <c r="EV4" s="303">
        <f t="shared" ref="EV4:EV28" si="49">EQ4+ES4+EU4</f>
        <v>5556289.5585261285</v>
      </c>
      <c r="EW4" s="301">
        <f t="shared" ref="EW4:EW28" si="50">EV4/$EV$29</f>
        <v>0.40488182919201166</v>
      </c>
      <c r="EX4" s="299">
        <f t="shared" ref="EX4:EX28" si="51">IF($AT4=0,0,ROUND(IF(VLOOKUP(EN4,$AQ$4:$AT$28,$AZ$31,FALSE)&lt;&gt;0,EV4/VLOOKUP(EN4,$AQ$4:$AT$28,$AZ$31,FALSE)*100,""),6))</f>
        <v>0.481599</v>
      </c>
      <c r="FB4" s="294">
        <v>1</v>
      </c>
      <c r="FC4" s="787" t="s">
        <v>235</v>
      </c>
      <c r="FD4" s="303">
        <f>C11</f>
        <v>22925355.453062057</v>
      </c>
      <c r="FH4" s="773">
        <v>1</v>
      </c>
      <c r="FI4" s="774">
        <f t="shared" ref="FI4:FI28" si="52">FR4</f>
        <v>1</v>
      </c>
      <c r="FJ4" s="17" t="s">
        <v>404</v>
      </c>
      <c r="FK4" s="301">
        <f t="shared" ref="FK4:FK27" si="53">Y4</f>
        <v>0.35600318052546376</v>
      </c>
      <c r="FL4" s="303">
        <f t="shared" ref="FL4:FL28" si="54">Y4*$FL$29</f>
        <v>7911411.3504231526</v>
      </c>
      <c r="FM4" s="299">
        <f t="shared" ref="FM4:FM28" si="55">IF($AT4=0,0,ROUND(IF(VLOOKUP(FI4,$AQ$4:$AT$28,$AZ$31,FALSE)&lt;&gt;0,FL4/VLOOKUP(FI4,$AQ$4:$AT$28,$AZ$31,FALSE)*100,""),6))</f>
        <v>0.68573200000000001</v>
      </c>
      <c r="FQ4" s="294">
        <v>1</v>
      </c>
      <c r="FR4" s="774">
        <v>1</v>
      </c>
      <c r="FS4" s="17" t="s">
        <v>404</v>
      </c>
      <c r="FT4" s="303">
        <f>VLOOKUP(FR4,$AQ$4:$AZ$28,$FT$34,FALSE)</f>
        <v>14918779.624622239</v>
      </c>
      <c r="FU4" s="303">
        <f t="shared" ref="FU4:FU28" si="56">VLOOKUP(FR4,$BL$4:$BS$87,$FU$34,FALSE)</f>
        <v>7938580.5153777283</v>
      </c>
      <c r="FV4" s="303">
        <f t="shared" ref="FV4:FV28" si="57">VLOOKUP(FR4,$CI$4:$CQ$28,$FV$34,FALSE)</f>
        <v>9345948.9676378183</v>
      </c>
      <c r="FW4" s="303">
        <f t="shared" ref="FW4:FW28" si="58">VLOOKUP(FR4,$DH$4:$DP$28,$FW$34,FALSE)</f>
        <v>3407340.375497398</v>
      </c>
      <c r="FX4" s="303">
        <f t="shared" ref="FX4:FX28" si="59">VLOOKUP(FR4,$DW$4:$EA$28,$FX$34,FALSE)</f>
        <v>1265995.2805851253</v>
      </c>
      <c r="FY4" s="303">
        <f t="shared" ref="FY4:FY28" si="60">VLOOKUP(FR4,$EN$4:$EV$29,$FY$35,FALSE)</f>
        <v>5556289.5585261285</v>
      </c>
      <c r="FZ4" s="303">
        <f t="shared" ref="FZ4:FZ28" si="61">VLOOKUP(FR4,$FI$4:$FL$28,$FZ$34,FALSE)</f>
        <v>7911411.3504231526</v>
      </c>
      <c r="GA4" s="303">
        <f t="shared" ref="GA4:GA24" si="62">SUM(FT4:FZ4)</f>
        <v>50344345.67266959</v>
      </c>
      <c r="GB4" s="381">
        <f t="shared" ref="GB4:GB28" si="63">IF($AT4=0,0,ROUND(IF(VLOOKUP(FR4,$AQ$4:$AT$28,$AZ$31,FALSE)&lt;&gt;0,GA4/VLOOKUP(FR4,$AQ$4:$AT$28,$AZ$31,FALSE)*100,""),6))</f>
        <v>4.3636650000000001</v>
      </c>
      <c r="GF4" s="773">
        <v>1</v>
      </c>
      <c r="GG4" s="774">
        <f t="shared" ref="GG4:GG28" si="64">FR4</f>
        <v>1</v>
      </c>
      <c r="GH4" s="17" t="s">
        <v>404</v>
      </c>
      <c r="GI4" s="299">
        <f>VLOOKUP(GG4,$AQ$4:$AZ$28,$GI$32,FALSE)</f>
        <v>1.2931049999999999</v>
      </c>
      <c r="GJ4" s="299">
        <f t="shared" ref="GJ4:GJ28" si="65">VLOOKUP(GG4,$BL$4:$BS$28,$GJ$32,FALSE)</f>
        <v>0.688087</v>
      </c>
      <c r="GK4" s="299">
        <f t="shared" ref="GK4:GK28" si="66">VLOOKUP(GG4,$CI$4:$CQ$28,$GK$32,FALSE)</f>
        <v>0.81007300000000004</v>
      </c>
      <c r="GL4" s="299">
        <f t="shared" ref="GL4:GL28" si="67">VLOOKUP(GG4,$DH$4:$DR$28,$GL$32,FALSE)</f>
        <v>0.29533599999999999</v>
      </c>
      <c r="GM4" s="299">
        <f t="shared" ref="GM4:GM28" si="68">VLOOKUP(GG4,$DW$4:$EA$28,$GM$32,FALSE)</f>
        <v>0.109732</v>
      </c>
      <c r="GN4" s="299">
        <f t="shared" ref="GN4:GN28" si="69">VLOOKUP(GG4,$EN$4:$EX$29,$GN$32,FALSE)</f>
        <v>0.481599</v>
      </c>
      <c r="GO4" s="299">
        <f t="shared" ref="GO4:GO28" si="70">VLOOKUP(GG4,$FI$4:$FM$28,$GO$32,FALSE)</f>
        <v>0.68573200000000001</v>
      </c>
      <c r="GP4" s="299">
        <f t="shared" ref="GP4:GP28" si="71">VLOOKUP(GG4,$FR$4:$GB$28,$GP$32,FALSE)</f>
        <v>4.3636650000000001</v>
      </c>
      <c r="GQ4" s="427">
        <v>1153717143</v>
      </c>
      <c r="GR4" s="755"/>
      <c r="GU4" s="294">
        <v>1</v>
      </c>
      <c r="GV4" s="774">
        <f>FR4</f>
        <v>1</v>
      </c>
      <c r="GW4" s="17" t="s">
        <v>404</v>
      </c>
      <c r="GX4" s="278" t="s">
        <v>385</v>
      </c>
      <c r="GY4" s="303">
        <f>GA4</f>
        <v>50344345.67266959</v>
      </c>
      <c r="GZ4" s="427">
        <f>VLOOKUP(GV4,$GG$4:$GQ$28,$GZ$35,FALSE)</f>
        <v>1153717143</v>
      </c>
      <c r="HA4" s="299">
        <f>IF(GW4="Specialty Containers",$HA$32,IF(GW4="Sleeve-in-a-Box 0 - 1 Litre",$HA$33,ROUND(IF(GZ4&lt;&gt;0,GY4/GZ4*100,0),6)))</f>
        <v>4.3636650000000001</v>
      </c>
      <c r="HB4" s="303">
        <f t="shared" ref="HB4:HB28" si="72">ROUND(HA4,10)*GZ4/100</f>
        <v>50344351.168090954</v>
      </c>
      <c r="HC4" s="788">
        <f t="shared" ref="HC4:HC28" si="73">HB4-GY4</f>
        <v>5.49542136490345</v>
      </c>
      <c r="HD4" s="789"/>
      <c r="HG4" s="294">
        <v>1</v>
      </c>
      <c r="HH4" s="17" t="s">
        <v>385</v>
      </c>
      <c r="HI4" s="790">
        <f>SUMIF($GX$4:$GX$28,$HH4,GY$4:GY$28)</f>
        <v>136784094.95051345</v>
      </c>
      <c r="HJ4" s="791">
        <f>HI4/HI$6</f>
        <v>0.98031147213147329</v>
      </c>
      <c r="HK4" s="790">
        <f>SUMIF($GX$4:$GX$28,$HH4,HB$4:HB$28)</f>
        <v>136784103.00141069</v>
      </c>
      <c r="HL4" s="788">
        <f>SUMIF($GX$4:$GX$28,$HH4,HC$4:HC$28)</f>
        <v>8.0508972577479199</v>
      </c>
      <c r="HM4" s="789"/>
      <c r="HP4" s="773">
        <v>1</v>
      </c>
      <c r="HQ4" s="792">
        <f>FR4</f>
        <v>1</v>
      </c>
      <c r="HR4" s="17" t="s">
        <v>404</v>
      </c>
      <c r="HS4" s="427">
        <v>1153717143</v>
      </c>
      <c r="HT4" s="793">
        <f>HA4</f>
        <v>4.3636650000000001</v>
      </c>
      <c r="HU4" s="793">
        <v>4.09</v>
      </c>
      <c r="HV4" s="783">
        <f>IF(HU4&lt;&gt;0,HT4/HU4-1,"")</f>
        <v>6.6910757946210264E-2</v>
      </c>
      <c r="HW4" s="793">
        <f>HT4-HU4</f>
        <v>0.27366500000000027</v>
      </c>
      <c r="HX4" s="785">
        <v>10</v>
      </c>
      <c r="IB4" s="794">
        <f>'Phase I Schedules'!HH26</f>
        <v>2246895791</v>
      </c>
      <c r="IC4" s="794">
        <f>'Phase I Schedules'!JL26</f>
        <v>2235729779</v>
      </c>
      <c r="ID4" s="795">
        <f>(IC4-IB4)/IB4</f>
        <v>-4.9695282018533101E-3</v>
      </c>
      <c r="IE4" s="794">
        <v>1500000</v>
      </c>
      <c r="IF4" s="796">
        <f>HT29</f>
        <v>6.2409715772985406</v>
      </c>
      <c r="IG4" s="797">
        <f>IF4*IC4/100</f>
        <v>139531260.05258948</v>
      </c>
      <c r="IH4" s="798">
        <v>1.4999999999999999E-2</v>
      </c>
      <c r="II4" s="794">
        <v>315893346</v>
      </c>
      <c r="IJ4" s="795">
        <f>II4/IC4</f>
        <v>0.1412931692224868</v>
      </c>
      <c r="IK4" s="795">
        <f>SUM(HS14,HS16:HS17,HS23,HS26)/HS29</f>
        <v>1.2997699575750025E-2</v>
      </c>
      <c r="IO4" s="773">
        <v>1</v>
      </c>
      <c r="IP4" s="792">
        <v>1</v>
      </c>
      <c r="IQ4" s="17" t="s">
        <v>404</v>
      </c>
      <c r="IR4" s="799">
        <f>GY4</f>
        <v>50344345.67266959</v>
      </c>
      <c r="IS4" s="800">
        <f>GZ4</f>
        <v>1153717143</v>
      </c>
      <c r="IT4" s="801">
        <f>HA4</f>
        <v>4.3636650000000001</v>
      </c>
      <c r="IU4" s="427">
        <f>IS4*$IJ$4/(1-$IK$4)</f>
        <v>165159039.09313512</v>
      </c>
      <c r="IV4" s="427">
        <f>IS4-IU4</f>
        <v>988558103.90686488</v>
      </c>
      <c r="IW4" s="799">
        <f>IU4*$IH$4</f>
        <v>2477385.5863970267</v>
      </c>
      <c r="IX4" s="799">
        <f>IR4-IW4</f>
        <v>47866960.08627256</v>
      </c>
      <c r="IY4" s="670">
        <f>IX4/IS4*100</f>
        <v>4.1489337639384072</v>
      </c>
      <c r="IZ4" s="670">
        <f>IY4+1.5</f>
        <v>5.6489337639384072</v>
      </c>
      <c r="JA4" s="799">
        <f>(IY4*IV4+IZ4*IU4)/100</f>
        <v>50344345.672669582</v>
      </c>
      <c r="JB4" s="381">
        <f>IT4-IY4</f>
        <v>0.21473123606159294</v>
      </c>
      <c r="JF4" s="773">
        <v>1</v>
      </c>
      <c r="JG4" s="792">
        <f>FR4</f>
        <v>1</v>
      </c>
      <c r="JH4" s="17" t="s">
        <v>404</v>
      </c>
      <c r="JI4" s="427">
        <v>1153717143</v>
      </c>
      <c r="JJ4" s="793">
        <f>IY4</f>
        <v>4.1489337639384072</v>
      </c>
      <c r="JK4" s="793">
        <v>3.871</v>
      </c>
      <c r="JL4" s="783">
        <f>IF(JK4&lt;&gt;0,JJ4/JK4-1,"")</f>
        <v>7.1798957359443971E-2</v>
      </c>
      <c r="JM4" s="793">
        <f>JJ4-JK4</f>
        <v>0.27793376393840719</v>
      </c>
      <c r="JN4" s="785">
        <v>10</v>
      </c>
    </row>
    <row r="5" spans="1:277" x14ac:dyDescent="0.3">
      <c r="A5" s="294">
        <v>2</v>
      </c>
      <c r="B5" s="802" t="s">
        <v>58</v>
      </c>
      <c r="C5" s="303">
        <f>'Phase I Schedules'!MF15</f>
        <v>2260251.5072260876</v>
      </c>
      <c r="D5" s="783">
        <f t="shared" si="0"/>
        <v>1.6198889814183548E-2</v>
      </c>
      <c r="E5" s="785">
        <v>0.10109681091411038</v>
      </c>
      <c r="I5" s="294">
        <f>+I4+1</f>
        <v>2</v>
      </c>
      <c r="J5" s="772">
        <f t="shared" si="1"/>
        <v>2</v>
      </c>
      <c r="K5" s="17" t="s">
        <v>405</v>
      </c>
      <c r="L5" s="427">
        <v>869331</v>
      </c>
      <c r="M5" s="301">
        <f t="shared" si="2"/>
        <v>3.8883545237243988E-4</v>
      </c>
      <c r="N5" s="427">
        <v>111</v>
      </c>
      <c r="O5" s="427">
        <f t="shared" ref="O5:O28" si="74">IFERROR(L5/N5,0)</f>
        <v>7831.8108108108108</v>
      </c>
      <c r="P5" s="301">
        <f t="shared" si="3"/>
        <v>4.2464874448545336E-3</v>
      </c>
      <c r="Q5" s="278" t="s">
        <v>385</v>
      </c>
      <c r="U5" s="773">
        <f>+U4+1</f>
        <v>2</v>
      </c>
      <c r="V5" s="774">
        <f t="shared" si="4"/>
        <v>2</v>
      </c>
      <c r="W5" s="17" t="s">
        <v>405</v>
      </c>
      <c r="X5" s="303">
        <f t="shared" ref="X5:X27" si="75">SUM(FT5:FX5)</f>
        <v>226610.39495846623</v>
      </c>
      <c r="Y5" s="301">
        <f t="shared" si="5"/>
        <v>2.1876724919592896E-3</v>
      </c>
      <c r="AC5" s="773">
        <f>+AC4+1</f>
        <v>2</v>
      </c>
      <c r="AD5" s="95">
        <v>2</v>
      </c>
      <c r="AE5" s="305" t="s">
        <v>405</v>
      </c>
      <c r="AF5" s="330">
        <v>15.43</v>
      </c>
      <c r="AJ5" s="773">
        <f t="shared" ref="AJ5:AJ7" si="76">+AJ4+1</f>
        <v>2</v>
      </c>
      <c r="AK5" s="775" t="s">
        <v>386</v>
      </c>
      <c r="AL5" s="803">
        <f>'Phase I Schedules'!AH19+'Phase I Schedules'!AI19</f>
        <v>2093547.5485628471</v>
      </c>
      <c r="AM5" s="777"/>
      <c r="AN5" s="778"/>
      <c r="AO5" s="777"/>
      <c r="AP5" s="773">
        <f t="shared" ref="AP5:AP29" si="77">+AP4+1</f>
        <v>2</v>
      </c>
      <c r="AQ5" s="779">
        <f t="shared" si="6"/>
        <v>2</v>
      </c>
      <c r="AR5" s="17" t="s">
        <v>405</v>
      </c>
      <c r="AS5" s="17">
        <f t="shared" si="7"/>
        <v>15.43</v>
      </c>
      <c r="AT5" s="780">
        <v>869331</v>
      </c>
      <c r="AU5" s="780">
        <f>AT5*AS5/3600</f>
        <v>3726.0492583333335</v>
      </c>
      <c r="AV5" s="781">
        <f t="shared" si="8"/>
        <v>3665.1968748016384</v>
      </c>
      <c r="AW5" s="782">
        <f t="shared" si="9"/>
        <v>21.511220758941374</v>
      </c>
      <c r="AX5" s="303">
        <f>AV5*AW5</f>
        <v>78842.859098840054</v>
      </c>
      <c r="AY5" s="301">
        <f t="shared" si="10"/>
        <v>1.7507110728474636E-3</v>
      </c>
      <c r="AZ5" s="299">
        <f t="shared" si="11"/>
        <v>9.0693719999999995</v>
      </c>
      <c r="BD5" s="294">
        <v>2</v>
      </c>
      <c r="BE5" s="569" t="s">
        <v>321</v>
      </c>
      <c r="BF5" s="560">
        <v>0.5</v>
      </c>
      <c r="BG5" s="804">
        <f>BF5*$BG$6</f>
        <v>9369173.0225375015</v>
      </c>
      <c r="BK5" s="294">
        <f>+BK4+1</f>
        <v>2</v>
      </c>
      <c r="BL5" s="278">
        <f t="shared" si="12"/>
        <v>2</v>
      </c>
      <c r="BM5" s="17" t="s">
        <v>405</v>
      </c>
      <c r="BN5" s="301">
        <f t="shared" si="13"/>
        <v>1.7507110728474636E-3</v>
      </c>
      <c r="BO5" s="303">
        <f t="shared" si="14"/>
        <v>16402.714953980143</v>
      </c>
      <c r="BP5" s="301">
        <f t="shared" si="15"/>
        <v>3.8883545237243988E-4</v>
      </c>
      <c r="BQ5" s="303">
        <f t="shared" si="16"/>
        <v>3643.0666305740292</v>
      </c>
      <c r="BR5" s="530">
        <f t="shared" si="17"/>
        <v>20045.781584554174</v>
      </c>
      <c r="BS5" s="299">
        <f t="shared" si="18"/>
        <v>2.3058860000000001</v>
      </c>
      <c r="BW5" s="294">
        <f>+BW4+1</f>
        <v>2</v>
      </c>
      <c r="BX5" s="17" t="s">
        <v>387</v>
      </c>
      <c r="BY5" s="783">
        <v>0.15689208540723823</v>
      </c>
      <c r="BZ5" s="784">
        <f>BY5*$BZ$9</f>
        <v>4268607.1823881464</v>
      </c>
      <c r="CA5" s="785">
        <v>1</v>
      </c>
      <c r="CB5" s="785"/>
      <c r="CC5" s="784">
        <f>CA5*$BZ5</f>
        <v>4268607.1823881464</v>
      </c>
      <c r="CD5" s="784">
        <f t="shared" si="19"/>
        <v>0</v>
      </c>
      <c r="CH5" s="294">
        <f>+CH4+1</f>
        <v>2</v>
      </c>
      <c r="CI5" s="95">
        <f t="shared" si="20"/>
        <v>2</v>
      </c>
      <c r="CJ5" s="17" t="s">
        <v>405</v>
      </c>
      <c r="CK5" s="301">
        <f t="shared" si="21"/>
        <v>3.8883545237243988E-4</v>
      </c>
      <c r="CL5" s="303">
        <f t="shared" si="22"/>
        <v>2440.6163042181911</v>
      </c>
      <c r="CM5" s="301">
        <f t="shared" si="23"/>
        <v>4.2464874448545336E-3</v>
      </c>
      <c r="CN5" s="303">
        <f t="shared" si="24"/>
        <v>88881.312884370971</v>
      </c>
      <c r="CO5" s="303">
        <f t="shared" si="25"/>
        <v>91321.929188589158</v>
      </c>
      <c r="CP5" s="301">
        <f t="shared" si="26"/>
        <v>3.356525279000727E-3</v>
      </c>
      <c r="CQ5" s="299">
        <f t="shared" si="27"/>
        <v>10.504851</v>
      </c>
      <c r="CU5" s="294">
        <f>+CU4+1</f>
        <v>2</v>
      </c>
      <c r="CV5" s="22" t="s">
        <v>50</v>
      </c>
      <c r="CW5" s="301">
        <v>1</v>
      </c>
      <c r="CX5" s="301">
        <v>0</v>
      </c>
      <c r="CY5" s="457">
        <v>0</v>
      </c>
      <c r="CZ5" s="303">
        <f t="shared" si="28"/>
        <v>317644.00109198852</v>
      </c>
      <c r="DA5" s="303">
        <f t="shared" si="28"/>
        <v>0</v>
      </c>
      <c r="DB5" s="303">
        <f t="shared" si="28"/>
        <v>0</v>
      </c>
      <c r="DC5" s="303">
        <v>317644.00109198852</v>
      </c>
      <c r="DG5" s="773">
        <f>+DG4+1</f>
        <v>2</v>
      </c>
      <c r="DH5" s="786">
        <f t="shared" si="29"/>
        <v>2</v>
      </c>
      <c r="DI5" s="17" t="s">
        <v>405</v>
      </c>
      <c r="DJ5" s="301">
        <f t="shared" si="30"/>
        <v>3.356525279000727E-3</v>
      </c>
      <c r="DK5" s="303">
        <f t="shared" si="31"/>
        <v>1066.180119388194</v>
      </c>
      <c r="DL5" s="301">
        <f t="shared" si="32"/>
        <v>4.2464874448545336E-3</v>
      </c>
      <c r="DM5" s="303">
        <f t="shared" si="33"/>
        <v>15210.375742020495</v>
      </c>
      <c r="DN5" s="301">
        <f t="shared" si="34"/>
        <v>3.8883545237243988E-4</v>
      </c>
      <c r="DO5" s="303">
        <f t="shared" si="35"/>
        <v>1697.7510689026228</v>
      </c>
      <c r="DP5" s="303">
        <f t="shared" ref="DP5:DP28" si="78">DK5+DM5+DO5</f>
        <v>17974.306930311312</v>
      </c>
      <c r="DQ5" s="301">
        <f t="shared" si="36"/>
        <v>2.1745493312162918E-3</v>
      </c>
      <c r="DR5" s="299">
        <f t="shared" si="37"/>
        <v>2.0676019999999999</v>
      </c>
      <c r="DV5" s="773">
        <f>+DV4+1</f>
        <v>2</v>
      </c>
      <c r="DW5" s="786">
        <f t="shared" si="38"/>
        <v>2</v>
      </c>
      <c r="DX5" s="17" t="s">
        <v>405</v>
      </c>
      <c r="DY5" s="301">
        <f t="shared" si="39"/>
        <v>4.2464874448545336E-3</v>
      </c>
      <c r="DZ5" s="303">
        <f t="shared" si="40"/>
        <v>18425.518156171554</v>
      </c>
      <c r="EA5" s="299">
        <f t="shared" si="41"/>
        <v>2.1195050000000002</v>
      </c>
      <c r="EE5" s="294">
        <v>2</v>
      </c>
      <c r="EF5" s="17" t="s">
        <v>50</v>
      </c>
      <c r="EG5" s="303">
        <v>1023371.0219333332</v>
      </c>
      <c r="EH5" s="783">
        <f>EG5/$EG$7</f>
        <v>7.9880732711368072E-2</v>
      </c>
      <c r="EI5" s="303">
        <f>EH5*$EI$7</f>
        <v>1096222.277935579</v>
      </c>
      <c r="EM5" s="773">
        <f>+EM4+1</f>
        <v>2</v>
      </c>
      <c r="EN5" s="786">
        <f t="shared" si="42"/>
        <v>2</v>
      </c>
      <c r="EO5" s="17" t="s">
        <v>405</v>
      </c>
      <c r="EP5" s="301">
        <f t="shared" si="43"/>
        <v>2.1876724919592896E-3</v>
      </c>
      <c r="EQ5" s="303">
        <f t="shared" si="44"/>
        <v>18266.975134245036</v>
      </c>
      <c r="ER5" s="301">
        <f t="shared" si="45"/>
        <v>3.356525279000727E-3</v>
      </c>
      <c r="ES5" s="303">
        <f t="shared" si="46"/>
        <v>3679.4977872945315</v>
      </c>
      <c r="ET5" s="301">
        <f t="shared" si="47"/>
        <v>3.8883545237243988E-4</v>
      </c>
      <c r="EU5" s="303">
        <f t="shared" si="48"/>
        <v>1663.0712309006626</v>
      </c>
      <c r="EV5" s="303">
        <f t="shared" si="49"/>
        <v>23609.54415244023</v>
      </c>
      <c r="EW5" s="301">
        <f t="shared" si="50"/>
        <v>1.7204062751123468E-3</v>
      </c>
      <c r="EX5" s="299">
        <f t="shared" si="51"/>
        <v>2.7158289999999998</v>
      </c>
      <c r="FB5" s="428">
        <v>2</v>
      </c>
      <c r="FC5" s="805" t="s">
        <v>388</v>
      </c>
      <c r="FD5" s="430">
        <f>C12</f>
        <v>-702488.40241986408</v>
      </c>
      <c r="FH5" s="773">
        <f>+FH4+1</f>
        <v>2</v>
      </c>
      <c r="FI5" s="774">
        <f t="shared" si="52"/>
        <v>2</v>
      </c>
      <c r="FJ5" s="17" t="s">
        <v>405</v>
      </c>
      <c r="FK5" s="301">
        <f t="shared" si="53"/>
        <v>2.1876724919592896E-3</v>
      </c>
      <c r="FL5" s="303">
        <f t="shared" si="54"/>
        <v>48616.354939158395</v>
      </c>
      <c r="FM5" s="299">
        <f t="shared" si="55"/>
        <v>5.5923870000000004</v>
      </c>
      <c r="FQ5" s="294">
        <f t="shared" ref="FQ5:FQ29" si="79">+FQ4+1</f>
        <v>2</v>
      </c>
      <c r="FR5" s="774">
        <v>2</v>
      </c>
      <c r="FS5" s="17" t="s">
        <v>405</v>
      </c>
      <c r="FT5" s="303">
        <f t="shared" ref="FT5:FT28" si="80">VLOOKUP(FR5,$AQ$4:$AZ$28,$FT$34,FALSE)</f>
        <v>78842.859098840054</v>
      </c>
      <c r="FU5" s="303">
        <f t="shared" si="56"/>
        <v>20045.781584554174</v>
      </c>
      <c r="FV5" s="303">
        <f t="shared" si="57"/>
        <v>91321.929188589158</v>
      </c>
      <c r="FW5" s="303">
        <f t="shared" si="58"/>
        <v>17974.306930311312</v>
      </c>
      <c r="FX5" s="303">
        <f t="shared" si="59"/>
        <v>18425.518156171554</v>
      </c>
      <c r="FY5" s="303">
        <f t="shared" si="60"/>
        <v>23609.54415244023</v>
      </c>
      <c r="FZ5" s="303">
        <f t="shared" si="61"/>
        <v>48616.354939158395</v>
      </c>
      <c r="GA5" s="303">
        <f t="shared" si="62"/>
        <v>298836.29405006487</v>
      </c>
      <c r="GB5" s="381">
        <f t="shared" si="63"/>
        <v>34.375433000000001</v>
      </c>
      <c r="GF5" s="773">
        <f t="shared" ref="GF5:GF29" si="81">+GF4+1</f>
        <v>2</v>
      </c>
      <c r="GG5" s="774">
        <f t="shared" si="64"/>
        <v>2</v>
      </c>
      <c r="GH5" s="17" t="s">
        <v>405</v>
      </c>
      <c r="GI5" s="299">
        <f t="shared" ref="GI5:GI28" si="82">VLOOKUP(GG5,$AQ$4:$AZ$28,$GI$32,FALSE)</f>
        <v>9.0693719999999995</v>
      </c>
      <c r="GJ5" s="299">
        <f t="shared" si="65"/>
        <v>2.3058860000000001</v>
      </c>
      <c r="GK5" s="299">
        <f t="shared" si="66"/>
        <v>10.504851</v>
      </c>
      <c r="GL5" s="299">
        <f t="shared" si="67"/>
        <v>2.0676019999999999</v>
      </c>
      <c r="GM5" s="299">
        <f t="shared" si="68"/>
        <v>2.1195050000000002</v>
      </c>
      <c r="GN5" s="299">
        <f t="shared" si="69"/>
        <v>2.7158289999999998</v>
      </c>
      <c r="GO5" s="299">
        <f t="shared" si="70"/>
        <v>5.5923870000000004</v>
      </c>
      <c r="GP5" s="299">
        <f t="shared" si="71"/>
        <v>34.375433000000001</v>
      </c>
      <c r="GQ5" s="427">
        <v>869331</v>
      </c>
      <c r="GR5" s="755"/>
      <c r="GU5" s="294">
        <f t="shared" ref="GU5:GU29" si="83">+GU4+1</f>
        <v>2</v>
      </c>
      <c r="GV5" s="774">
        <f>FR5</f>
        <v>2</v>
      </c>
      <c r="GW5" s="17" t="s">
        <v>405</v>
      </c>
      <c r="GX5" s="278" t="s">
        <v>385</v>
      </c>
      <c r="GY5" s="303">
        <f>GA5</f>
        <v>298836.29405006487</v>
      </c>
      <c r="GZ5" s="427">
        <f>VLOOKUP(GV5,$GG$4:$GQ$28,$GZ$35,FALSE)</f>
        <v>869331</v>
      </c>
      <c r="HA5" s="299">
        <f t="shared" ref="HA5:HA28" si="84">IF(GW5="Specialty Containers",$HA$32,IF(GW5="Sleeve-in-a-Box 0 - 1 Litre",$HA$33,ROUND(IF(GZ5&lt;&gt;0,GY5/GZ5*100,0),6)))</f>
        <v>34.375433000000001</v>
      </c>
      <c r="HB5" s="303">
        <f t="shared" si="72"/>
        <v>298836.29545322998</v>
      </c>
      <c r="HC5" s="788">
        <f t="shared" si="73"/>
        <v>1.4031651080586016E-3</v>
      </c>
      <c r="HD5" s="789"/>
      <c r="HG5" s="428">
        <v>2</v>
      </c>
      <c r="HH5" s="569" t="s">
        <v>389</v>
      </c>
      <c r="HI5" s="806">
        <f>SUMIF($GX$4:$GX$28,$HH5,GY$4:GY$28)</f>
        <v>2747165.1020760559</v>
      </c>
      <c r="HJ5" s="807">
        <f>HI5/HI$6</f>
        <v>1.968852786852671E-2</v>
      </c>
      <c r="HK5" s="806">
        <f>SUMIF($GX$4:$GX$28,$HH5,HB$4:HB$28)</f>
        <v>2747165.0372686102</v>
      </c>
      <c r="HL5" s="808">
        <f>SUMIF($GX$4:$GX$28,$HH5,HC$4:HC$28)</f>
        <v>-6.4807446343365882E-2</v>
      </c>
      <c r="HM5" s="789"/>
      <c r="HP5" s="773">
        <f>+HP4+1</f>
        <v>2</v>
      </c>
      <c r="HQ5" s="792">
        <f>FR5</f>
        <v>2</v>
      </c>
      <c r="HR5" s="17" t="s">
        <v>405</v>
      </c>
      <c r="HS5" s="427">
        <v>869331</v>
      </c>
      <c r="HT5" s="793">
        <f t="shared" ref="HT5:HT28" si="85">HA5</f>
        <v>34.375433000000001</v>
      </c>
      <c r="HU5" s="793">
        <v>45.786000000000001</v>
      </c>
      <c r="HV5" s="783">
        <f t="shared" ref="HV5:HV28" si="86">IF(HU5&lt;&gt;0,HT5/HU5-1,"")</f>
        <v>-0.24921519678504345</v>
      </c>
      <c r="HW5" s="793">
        <f t="shared" ref="HW5:HW29" si="87">HT5-HU5</f>
        <v>-11.410567</v>
      </c>
      <c r="HX5" s="785">
        <v>25</v>
      </c>
      <c r="IO5" s="773">
        <f>IO4+1</f>
        <v>2</v>
      </c>
      <c r="IP5" s="792">
        <v>2</v>
      </c>
      <c r="IQ5" s="17" t="s">
        <v>405</v>
      </c>
      <c r="IR5" s="799">
        <f t="shared" ref="IR5:IT28" si="88">GY5</f>
        <v>298836.29405006487</v>
      </c>
      <c r="IS5" s="800">
        <f t="shared" si="88"/>
        <v>869331</v>
      </c>
      <c r="IT5" s="801">
        <f t="shared" si="88"/>
        <v>34.375433000000001</v>
      </c>
      <c r="IU5" s="427">
        <f t="shared" ref="IU5:IU28" si="89">IS5*$IJ$4/(1-$IK$4)</f>
        <v>124448.07072947711</v>
      </c>
      <c r="IV5" s="427">
        <f t="shared" ref="IV5:IV28" si="90">IS5-IU5</f>
        <v>744882.9292705229</v>
      </c>
      <c r="IW5" s="799">
        <f t="shared" ref="IW5:IW28" si="91">IU5*$IH$4</f>
        <v>1866.7210609421566</v>
      </c>
      <c r="IX5" s="799">
        <f t="shared" ref="IX5:IX28" si="92">IR5-IW5</f>
        <v>296969.57298912271</v>
      </c>
      <c r="IY5" s="670">
        <f t="shared" ref="IY5:IY22" si="93">IX5/IS5*100</f>
        <v>34.160702078854051</v>
      </c>
      <c r="IZ5" s="670">
        <f t="shared" ref="IZ5:IZ21" si="94">IY5+1.5</f>
        <v>35.660702078854051</v>
      </c>
      <c r="JA5" s="799">
        <f t="shared" ref="JA5:JA28" si="95">(IY5*IV5+IZ5*IU5)/100</f>
        <v>298836.29405006487</v>
      </c>
      <c r="JB5" s="381">
        <f t="shared" ref="JB5:JB28" si="96">IT5-IY5</f>
        <v>0.21473092114595005</v>
      </c>
      <c r="JF5" s="773">
        <f>+JF4+1</f>
        <v>2</v>
      </c>
      <c r="JG5" s="792">
        <f>FR5</f>
        <v>2</v>
      </c>
      <c r="JH5" s="17" t="s">
        <v>405</v>
      </c>
      <c r="JI5" s="427">
        <v>869331</v>
      </c>
      <c r="JJ5" s="793">
        <f t="shared" ref="JJ5:JJ28" si="97">IY5</f>
        <v>34.160702078854051</v>
      </c>
      <c r="JK5" s="793">
        <v>45.566000000000003</v>
      </c>
      <c r="JL5" s="783">
        <f t="shared" ref="JL5" si="98">IF(JK5&lt;&gt;0,JJ5/JK5-1,"")</f>
        <v>-0.25030281177074909</v>
      </c>
      <c r="JM5" s="793">
        <f t="shared" ref="JM5:JM29" si="99">JJ5-JK5</f>
        <v>-11.405297921145952</v>
      </c>
      <c r="JN5" s="785">
        <v>25</v>
      </c>
    </row>
    <row r="6" spans="1:277" ht="17.25" thickBot="1" x14ac:dyDescent="0.35">
      <c r="A6" s="768">
        <v>3</v>
      </c>
      <c r="B6" s="769" t="s">
        <v>49</v>
      </c>
      <c r="C6" s="339">
        <f>'Phase I Schedules'!MF16</f>
        <v>18738346.045075003</v>
      </c>
      <c r="D6" s="770">
        <f t="shared" si="0"/>
        <v>0.13429496757939763</v>
      </c>
      <c r="E6" s="771">
        <v>0.83813107563724965</v>
      </c>
      <c r="I6" s="294">
        <f t="shared" ref="I6:I29" si="100">+I5+1</f>
        <v>3</v>
      </c>
      <c r="J6" s="772">
        <f t="shared" si="1"/>
        <v>3</v>
      </c>
      <c r="K6" s="17" t="s">
        <v>406</v>
      </c>
      <c r="L6" s="427">
        <v>2674516</v>
      </c>
      <c r="M6" s="301">
        <f t="shared" si="2"/>
        <v>1.1962608474071768E-3</v>
      </c>
      <c r="N6" s="427">
        <v>825</v>
      </c>
      <c r="O6" s="427">
        <f t="shared" si="74"/>
        <v>3241.8375757575759</v>
      </c>
      <c r="P6" s="301">
        <f t="shared" si="3"/>
        <v>1.7577572921845127E-3</v>
      </c>
      <c r="Q6" s="278" t="s">
        <v>385</v>
      </c>
      <c r="U6" s="773">
        <f t="shared" ref="U6:U29" si="101">+U5+1</f>
        <v>3</v>
      </c>
      <c r="V6" s="774">
        <f t="shared" si="4"/>
        <v>3</v>
      </c>
      <c r="W6" s="17" t="s">
        <v>406</v>
      </c>
      <c r="X6" s="303">
        <f t="shared" si="75"/>
        <v>323188.11180397193</v>
      </c>
      <c r="Y6" s="301">
        <f t="shared" si="5"/>
        <v>3.120023430749499E-3</v>
      </c>
      <c r="AC6" s="773">
        <f t="shared" ref="AC6:AC28" si="102">+AC5+1</f>
        <v>3</v>
      </c>
      <c r="AD6" s="95">
        <v>3</v>
      </c>
      <c r="AE6" s="305" t="s">
        <v>406</v>
      </c>
      <c r="AF6" s="330">
        <v>13.06</v>
      </c>
      <c r="AJ6" s="773">
        <f t="shared" si="76"/>
        <v>3</v>
      </c>
      <c r="AK6" s="809" t="s">
        <v>390</v>
      </c>
      <c r="AL6" s="810">
        <f>AL4/AL5</f>
        <v>21.511220758941374</v>
      </c>
      <c r="AM6" s="811"/>
      <c r="AN6" s="812"/>
      <c r="AO6" s="811"/>
      <c r="AP6" s="773">
        <f t="shared" si="77"/>
        <v>3</v>
      </c>
      <c r="AQ6" s="779">
        <f t="shared" si="6"/>
        <v>3</v>
      </c>
      <c r="AR6" s="17" t="s">
        <v>406</v>
      </c>
      <c r="AS6" s="17">
        <f t="shared" si="7"/>
        <v>13.06</v>
      </c>
      <c r="AT6" s="780">
        <v>2674516</v>
      </c>
      <c r="AU6" s="780">
        <f t="shared" ref="AU6:AU28" si="103">AT6*AS6/3600</f>
        <v>9702.5497111111108</v>
      </c>
      <c r="AV6" s="781">
        <f t="shared" si="8"/>
        <v>9544.0914526929246</v>
      </c>
      <c r="AW6" s="782">
        <f t="shared" si="9"/>
        <v>21.511220758941374</v>
      </c>
      <c r="AX6" s="303">
        <f>AV6*AW6</f>
        <v>205305.05818240298</v>
      </c>
      <c r="AY6" s="301">
        <f t="shared" si="10"/>
        <v>4.5588128434172126E-3</v>
      </c>
      <c r="AZ6" s="299">
        <f t="shared" si="11"/>
        <v>7.6763440000000003</v>
      </c>
      <c r="BD6" s="399">
        <v>3</v>
      </c>
      <c r="BE6" s="548" t="s">
        <v>72</v>
      </c>
      <c r="BF6" s="813">
        <f>SUM(BF4:BF5)</f>
        <v>1</v>
      </c>
      <c r="BG6" s="396">
        <f>C6</f>
        <v>18738346.045075003</v>
      </c>
      <c r="BK6" s="294">
        <f t="shared" ref="BK6:BK29" si="104">+BK5+1</f>
        <v>3</v>
      </c>
      <c r="BL6" s="278">
        <f t="shared" si="12"/>
        <v>3</v>
      </c>
      <c r="BM6" s="17" t="s">
        <v>406</v>
      </c>
      <c r="BN6" s="301">
        <f t="shared" si="13"/>
        <v>4.5588128434172126E-3</v>
      </c>
      <c r="BO6" s="303">
        <f t="shared" si="14"/>
        <v>42712.306307342027</v>
      </c>
      <c r="BP6" s="301">
        <f t="shared" si="15"/>
        <v>1.1962608474071768E-3</v>
      </c>
      <c r="BQ6" s="303">
        <f t="shared" si="16"/>
        <v>11207.97485944517</v>
      </c>
      <c r="BR6" s="530">
        <f t="shared" si="17"/>
        <v>53920.281166787201</v>
      </c>
      <c r="BS6" s="299">
        <f t="shared" si="18"/>
        <v>2.016076</v>
      </c>
      <c r="BW6" s="294">
        <f>+BW5+1</f>
        <v>3</v>
      </c>
      <c r="BX6" s="17" t="s">
        <v>391</v>
      </c>
      <c r="BY6" s="783">
        <v>0.11787322529902199</v>
      </c>
      <c r="BZ6" s="784">
        <f>BY6*$BZ$9</f>
        <v>3207010.0592814758</v>
      </c>
      <c r="CA6" s="785"/>
      <c r="CB6" s="785">
        <v>1</v>
      </c>
      <c r="CC6" s="784">
        <f t="shared" si="19"/>
        <v>0</v>
      </c>
      <c r="CD6" s="784">
        <f t="shared" si="19"/>
        <v>3207010.0592814758</v>
      </c>
      <c r="CH6" s="294">
        <f t="shared" ref="CH6:CH29" si="105">+CH5+1</f>
        <v>3</v>
      </c>
      <c r="CI6" s="95">
        <f t="shared" si="20"/>
        <v>3</v>
      </c>
      <c r="CJ6" s="17" t="s">
        <v>406</v>
      </c>
      <c r="CK6" s="301">
        <f t="shared" si="21"/>
        <v>1.1962608474071768E-3</v>
      </c>
      <c r="CL6" s="303">
        <f t="shared" si="22"/>
        <v>7508.6099028936269</v>
      </c>
      <c r="CM6" s="301">
        <f t="shared" si="23"/>
        <v>1.7577572921845127E-3</v>
      </c>
      <c r="CN6" s="303">
        <f t="shared" si="24"/>
        <v>36790.82486179073</v>
      </c>
      <c r="CO6" s="303">
        <f t="shared" si="25"/>
        <v>44299.43476468436</v>
      </c>
      <c r="CP6" s="301">
        <f t="shared" si="26"/>
        <v>1.6282197929266481E-3</v>
      </c>
      <c r="CQ6" s="299">
        <f t="shared" si="27"/>
        <v>1.656353</v>
      </c>
      <c r="CU6" s="428">
        <v>3</v>
      </c>
      <c r="CV6" s="814" t="s">
        <v>383</v>
      </c>
      <c r="CW6" s="560">
        <v>0</v>
      </c>
      <c r="CX6" s="560">
        <v>0</v>
      </c>
      <c r="CY6" s="815">
        <v>1</v>
      </c>
      <c r="CZ6" s="430">
        <f t="shared" si="28"/>
        <v>0</v>
      </c>
      <c r="DA6" s="430">
        <f t="shared" si="28"/>
        <v>0</v>
      </c>
      <c r="DB6" s="430">
        <f t="shared" si="28"/>
        <v>784373.26574824622</v>
      </c>
      <c r="DC6" s="430">
        <v>784373.26574824622</v>
      </c>
      <c r="DG6" s="773">
        <f t="shared" ref="DG6:DG29" si="106">+DG5+1</f>
        <v>3</v>
      </c>
      <c r="DH6" s="786">
        <f t="shared" si="29"/>
        <v>3</v>
      </c>
      <c r="DI6" s="17" t="s">
        <v>406</v>
      </c>
      <c r="DJ6" s="301">
        <f t="shared" si="30"/>
        <v>1.6282197929266481E-3</v>
      </c>
      <c r="DK6" s="303">
        <f t="shared" si="31"/>
        <v>517.19424968238957</v>
      </c>
      <c r="DL6" s="301">
        <f t="shared" si="32"/>
        <v>1.7577572921845127E-3</v>
      </c>
      <c r="DM6" s="303">
        <f t="shared" si="33"/>
        <v>6296.0621512726048</v>
      </c>
      <c r="DN6" s="301">
        <f t="shared" si="34"/>
        <v>1.1962608474071768E-3</v>
      </c>
      <c r="DO6" s="303">
        <f t="shared" si="35"/>
        <v>5223.1686179339822</v>
      </c>
      <c r="DP6" s="303">
        <f t="shared" si="78"/>
        <v>12036.425018888976</v>
      </c>
      <c r="DQ6" s="301">
        <f t="shared" si="36"/>
        <v>1.4561785373165843E-3</v>
      </c>
      <c r="DR6" s="299">
        <f t="shared" si="37"/>
        <v>0.45004100000000002</v>
      </c>
      <c r="DV6" s="773">
        <f t="shared" ref="DV6:DV29" si="107">+DV5+1</f>
        <v>3</v>
      </c>
      <c r="DW6" s="786">
        <f t="shared" si="38"/>
        <v>3</v>
      </c>
      <c r="DX6" s="17" t="s">
        <v>406</v>
      </c>
      <c r="DY6" s="301">
        <f t="shared" si="39"/>
        <v>1.7577572921845127E-3</v>
      </c>
      <c r="DZ6" s="303">
        <f t="shared" si="40"/>
        <v>7626.9126712084617</v>
      </c>
      <c r="EA6" s="299">
        <f t="shared" si="41"/>
        <v>0.28516999999999998</v>
      </c>
      <c r="EE6" s="428">
        <v>3</v>
      </c>
      <c r="EF6" s="569" t="s">
        <v>171</v>
      </c>
      <c r="EG6" s="430">
        <v>3992817.7462999998</v>
      </c>
      <c r="EH6" s="816">
        <f>EG6/$EG$7</f>
        <v>0.31166527126676352</v>
      </c>
      <c r="EI6" s="430">
        <f>EH6*$EI$7</f>
        <v>4277056.5820415886</v>
      </c>
      <c r="EM6" s="773">
        <f t="shared" ref="EM6:EM29" si="108">+EM5+1</f>
        <v>3</v>
      </c>
      <c r="EN6" s="786">
        <f t="shared" si="42"/>
        <v>3</v>
      </c>
      <c r="EO6" s="17" t="s">
        <v>406</v>
      </c>
      <c r="EP6" s="301">
        <f t="shared" si="43"/>
        <v>3.120023430749499E-3</v>
      </c>
      <c r="EQ6" s="303">
        <f t="shared" si="44"/>
        <v>26052.067042594408</v>
      </c>
      <c r="ER6" s="301">
        <f t="shared" si="45"/>
        <v>1.6282197929266481E-3</v>
      </c>
      <c r="ES6" s="303">
        <f t="shared" si="46"/>
        <v>1784.8908103818469</v>
      </c>
      <c r="ET6" s="301">
        <f t="shared" si="47"/>
        <v>1.1962608474071768E-3</v>
      </c>
      <c r="EU6" s="303">
        <f t="shared" si="48"/>
        <v>5116.4753312415141</v>
      </c>
      <c r="EV6" s="303">
        <f t="shared" si="49"/>
        <v>32953.433184217771</v>
      </c>
      <c r="EW6" s="301">
        <f t="shared" si="50"/>
        <v>2.4012870757084905E-3</v>
      </c>
      <c r="EX6" s="299">
        <f t="shared" si="51"/>
        <v>1.232127</v>
      </c>
      <c r="FB6" s="389">
        <v>3</v>
      </c>
      <c r="FC6" s="817" t="s">
        <v>392</v>
      </c>
      <c r="FD6" s="392">
        <f>SUM(FD4:FD5)</f>
        <v>22222867.050642192</v>
      </c>
      <c r="FH6" s="773">
        <f t="shared" ref="FH6:FH29" si="109">+FH5+1</f>
        <v>3</v>
      </c>
      <c r="FI6" s="774">
        <f t="shared" si="52"/>
        <v>3</v>
      </c>
      <c r="FJ6" s="17" t="s">
        <v>406</v>
      </c>
      <c r="FK6" s="301">
        <f t="shared" si="53"/>
        <v>3.120023430749499E-3</v>
      </c>
      <c r="FL6" s="303">
        <f t="shared" si="54"/>
        <v>69335.865896434654</v>
      </c>
      <c r="FM6" s="299">
        <f t="shared" si="55"/>
        <v>2.5924640000000001</v>
      </c>
      <c r="FQ6" s="294">
        <f t="shared" si="79"/>
        <v>3</v>
      </c>
      <c r="FR6" s="774">
        <v>3</v>
      </c>
      <c r="FS6" s="17" t="s">
        <v>406</v>
      </c>
      <c r="FT6" s="303">
        <f t="shared" si="80"/>
        <v>205305.05818240298</v>
      </c>
      <c r="FU6" s="303">
        <f t="shared" si="56"/>
        <v>53920.281166787201</v>
      </c>
      <c r="FV6" s="303">
        <f t="shared" si="57"/>
        <v>44299.43476468436</v>
      </c>
      <c r="FW6" s="303">
        <f t="shared" si="58"/>
        <v>12036.425018888976</v>
      </c>
      <c r="FX6" s="303">
        <f t="shared" si="59"/>
        <v>7626.9126712084617</v>
      </c>
      <c r="FY6" s="303">
        <f t="shared" si="60"/>
        <v>32953.433184217771</v>
      </c>
      <c r="FZ6" s="303">
        <f t="shared" si="61"/>
        <v>69335.865896434654</v>
      </c>
      <c r="GA6" s="303">
        <f t="shared" si="62"/>
        <v>425477.41088462435</v>
      </c>
      <c r="GB6" s="381">
        <f t="shared" si="63"/>
        <v>15.908576</v>
      </c>
      <c r="GF6" s="773">
        <f t="shared" si="81"/>
        <v>3</v>
      </c>
      <c r="GG6" s="774">
        <f t="shared" si="64"/>
        <v>3</v>
      </c>
      <c r="GH6" s="17" t="s">
        <v>406</v>
      </c>
      <c r="GI6" s="299">
        <f t="shared" si="82"/>
        <v>7.6763440000000003</v>
      </c>
      <c r="GJ6" s="299">
        <f t="shared" si="65"/>
        <v>2.016076</v>
      </c>
      <c r="GK6" s="299">
        <f t="shared" si="66"/>
        <v>1.656353</v>
      </c>
      <c r="GL6" s="299">
        <f t="shared" si="67"/>
        <v>0.45004100000000002</v>
      </c>
      <c r="GM6" s="299">
        <f t="shared" si="68"/>
        <v>0.28516999999999998</v>
      </c>
      <c r="GN6" s="299">
        <f t="shared" si="69"/>
        <v>1.232127</v>
      </c>
      <c r="GO6" s="299">
        <f t="shared" si="70"/>
        <v>2.5924640000000001</v>
      </c>
      <c r="GP6" s="299">
        <f t="shared" si="71"/>
        <v>15.908576</v>
      </c>
      <c r="GQ6" s="427">
        <v>2674516</v>
      </c>
      <c r="GR6" s="755"/>
      <c r="GU6" s="294">
        <f t="shared" si="83"/>
        <v>3</v>
      </c>
      <c r="GV6" s="774">
        <f>FR6</f>
        <v>3</v>
      </c>
      <c r="GW6" s="17" t="s">
        <v>406</v>
      </c>
      <c r="GX6" s="278" t="s">
        <v>385</v>
      </c>
      <c r="GY6" s="303">
        <f>GA6</f>
        <v>425477.41088462435</v>
      </c>
      <c r="GZ6" s="427">
        <f>VLOOKUP(GV6,$GG$4:$GQ$28,$GZ$35,FALSE)</f>
        <v>2674516</v>
      </c>
      <c r="HA6" s="299">
        <f t="shared" si="84"/>
        <v>15.908576</v>
      </c>
      <c r="HB6" s="303">
        <f t="shared" si="72"/>
        <v>425477.41049216001</v>
      </c>
      <c r="HC6" s="788">
        <f t="shared" si="73"/>
        <v>-3.924643388018012E-4</v>
      </c>
      <c r="HD6" s="818"/>
      <c r="HG6" s="389">
        <v>3</v>
      </c>
      <c r="HH6" s="819" t="s">
        <v>89</v>
      </c>
      <c r="HI6" s="820">
        <f>SUM(HI4:HI5)</f>
        <v>139531260.05258951</v>
      </c>
      <c r="HJ6" s="821">
        <f>SUM(HJ4:HJ5)</f>
        <v>1</v>
      </c>
      <c r="HK6" s="820">
        <f>SUM(HK4:HK5)</f>
        <v>139531268.0386793</v>
      </c>
      <c r="HL6" s="822">
        <f>SUM(HL4:HL5)</f>
        <v>7.986089811404554</v>
      </c>
      <c r="HM6" s="818"/>
      <c r="HP6" s="773">
        <f t="shared" ref="HP6:HP29" si="110">+HP5+1</f>
        <v>3</v>
      </c>
      <c r="HQ6" s="792">
        <f>FR6</f>
        <v>3</v>
      </c>
      <c r="HR6" s="17" t="s">
        <v>406</v>
      </c>
      <c r="HS6" s="427">
        <v>2674516</v>
      </c>
      <c r="HT6" s="793">
        <f t="shared" si="85"/>
        <v>15.908576</v>
      </c>
      <c r="HU6" s="793">
        <v>9.8089999999999993</v>
      </c>
      <c r="HV6" s="783">
        <f>IF(HU6&lt;&gt;0,HT6/HU6-1,"")</f>
        <v>0.62183464165562241</v>
      </c>
      <c r="HW6" s="793">
        <f t="shared" si="87"/>
        <v>6.0995760000000008</v>
      </c>
      <c r="HX6" s="785">
        <v>10</v>
      </c>
      <c r="IO6" s="773">
        <f t="shared" ref="IO6:IO29" si="111">IO5+1</f>
        <v>3</v>
      </c>
      <c r="IP6" s="792">
        <v>3</v>
      </c>
      <c r="IQ6" s="17" t="s">
        <v>406</v>
      </c>
      <c r="IR6" s="799">
        <f t="shared" si="88"/>
        <v>425477.41088462435</v>
      </c>
      <c r="IS6" s="800">
        <f t="shared" si="88"/>
        <v>2674516</v>
      </c>
      <c r="IT6" s="801">
        <f t="shared" si="88"/>
        <v>15.908576</v>
      </c>
      <c r="IU6" s="427">
        <f t="shared" si="89"/>
        <v>382867.23507515347</v>
      </c>
      <c r="IV6" s="427">
        <f t="shared" si="90"/>
        <v>2291648.7649248466</v>
      </c>
      <c r="IW6" s="799">
        <f t="shared" si="91"/>
        <v>5743.0085261273016</v>
      </c>
      <c r="IX6" s="799">
        <f t="shared" si="92"/>
        <v>419734.40235849703</v>
      </c>
      <c r="IY6" s="670">
        <f t="shared" si="93"/>
        <v>15.693845254935734</v>
      </c>
      <c r="IZ6" s="670">
        <f t="shared" si="94"/>
        <v>17.193845254935734</v>
      </c>
      <c r="JA6" s="799">
        <f t="shared" si="95"/>
        <v>425477.41088462435</v>
      </c>
      <c r="JB6" s="381">
        <f t="shared" si="96"/>
        <v>0.2147307450642657</v>
      </c>
      <c r="JF6" s="773">
        <f t="shared" ref="JF6:JF29" si="112">+JF5+1</f>
        <v>3</v>
      </c>
      <c r="JG6" s="792">
        <f>FR6</f>
        <v>3</v>
      </c>
      <c r="JH6" s="17" t="s">
        <v>406</v>
      </c>
      <c r="JI6" s="427">
        <v>2674516</v>
      </c>
      <c r="JJ6" s="793">
        <f t="shared" si="97"/>
        <v>15.693845254935734</v>
      </c>
      <c r="JK6" s="793">
        <v>9.5890000000000004</v>
      </c>
      <c r="JL6" s="783">
        <f>IF(JK6&lt;&gt;0,JJ6/JK6-1,"")</f>
        <v>0.63665087651848307</v>
      </c>
      <c r="JM6" s="793">
        <f t="shared" si="99"/>
        <v>6.1048452549357339</v>
      </c>
      <c r="JN6" s="785">
        <v>10</v>
      </c>
    </row>
    <row r="7" spans="1:277" ht="17.25" thickBot="1" x14ac:dyDescent="0.35">
      <c r="A7" s="294">
        <v>4</v>
      </c>
      <c r="B7" s="787" t="s">
        <v>50</v>
      </c>
      <c r="C7" s="303">
        <f>'Phase I Schedules'!MF17</f>
        <v>27207281.816085886</v>
      </c>
      <c r="D7" s="783">
        <f t="shared" si="0"/>
        <v>0.19499058351391246</v>
      </c>
      <c r="E7" s="785">
        <v>1.2169306895511851</v>
      </c>
      <c r="I7" s="294">
        <f t="shared" si="100"/>
        <v>4</v>
      </c>
      <c r="J7" s="772">
        <f t="shared" si="1"/>
        <v>4</v>
      </c>
      <c r="K7" s="17" t="s">
        <v>407</v>
      </c>
      <c r="L7" s="427">
        <v>305915</v>
      </c>
      <c r="M7" s="301">
        <f t="shared" si="2"/>
        <v>1.3683004219625775E-4</v>
      </c>
      <c r="N7" s="427">
        <v>170</v>
      </c>
      <c r="O7" s="427">
        <f t="shared" si="74"/>
        <v>1799.5</v>
      </c>
      <c r="P7" s="301">
        <f t="shared" si="3"/>
        <v>9.7570719487599807E-4</v>
      </c>
      <c r="Q7" s="278" t="s">
        <v>385</v>
      </c>
      <c r="U7" s="773">
        <f t="shared" si="101"/>
        <v>4</v>
      </c>
      <c r="V7" s="774">
        <f t="shared" si="4"/>
        <v>4</v>
      </c>
      <c r="W7" s="17" t="s">
        <v>407</v>
      </c>
      <c r="X7" s="303">
        <f t="shared" si="75"/>
        <v>74406.952279275487</v>
      </c>
      <c r="Y7" s="301">
        <f t="shared" si="5"/>
        <v>7.1831675127583157E-4</v>
      </c>
      <c r="AC7" s="773">
        <f t="shared" si="102"/>
        <v>4</v>
      </c>
      <c r="AD7" s="95">
        <v>4</v>
      </c>
      <c r="AE7" s="305" t="s">
        <v>407</v>
      </c>
      <c r="AF7" s="330">
        <v>19.920000000000002</v>
      </c>
      <c r="AJ7" s="823">
        <f t="shared" si="76"/>
        <v>4</v>
      </c>
      <c r="AK7" s="824" t="s">
        <v>393</v>
      </c>
      <c r="AL7" s="825">
        <f>AU29*3600/AT29</f>
        <v>3.427025237435906</v>
      </c>
      <c r="AP7" s="773">
        <f t="shared" si="77"/>
        <v>4</v>
      </c>
      <c r="AQ7" s="779">
        <f t="shared" si="6"/>
        <v>4</v>
      </c>
      <c r="AR7" s="17" t="s">
        <v>407</v>
      </c>
      <c r="AS7" s="17">
        <f t="shared" si="7"/>
        <v>19.920000000000002</v>
      </c>
      <c r="AT7" s="780">
        <v>305915</v>
      </c>
      <c r="AU7" s="780">
        <f t="shared" si="103"/>
        <v>1692.7296666666668</v>
      </c>
      <c r="AV7" s="781">
        <f t="shared" si="8"/>
        <v>1665.0846658226487</v>
      </c>
      <c r="AW7" s="782">
        <f t="shared" si="9"/>
        <v>21.511220758941374</v>
      </c>
      <c r="AX7" s="303">
        <f t="shared" ref="AX7:AX28" si="113">AV7*AW7</f>
        <v>35818.003828839122</v>
      </c>
      <c r="AY7" s="301">
        <f t="shared" si="10"/>
        <v>7.9534122211156663E-4</v>
      </c>
      <c r="AZ7" s="299">
        <f t="shared" si="11"/>
        <v>11.708482</v>
      </c>
      <c r="BK7" s="294">
        <f t="shared" si="104"/>
        <v>4</v>
      </c>
      <c r="BL7" s="278">
        <f t="shared" si="12"/>
        <v>4</v>
      </c>
      <c r="BM7" s="17" t="s">
        <v>407</v>
      </c>
      <c r="BN7" s="301">
        <f t="shared" si="13"/>
        <v>7.9534122211156663E-4</v>
      </c>
      <c r="BO7" s="303">
        <f t="shared" si="14"/>
        <v>7451.6895219196967</v>
      </c>
      <c r="BP7" s="301">
        <f t="shared" si="15"/>
        <v>1.3683004219625775E-4</v>
      </c>
      <c r="BQ7" s="303">
        <f t="shared" si="16"/>
        <v>1281.9843400178461</v>
      </c>
      <c r="BR7" s="530">
        <f t="shared" si="17"/>
        <v>8733.6738619375428</v>
      </c>
      <c r="BS7" s="299">
        <f t="shared" si="18"/>
        <v>2.8549349999999998</v>
      </c>
      <c r="BW7" s="294">
        <f>+BW6+1</f>
        <v>4</v>
      </c>
      <c r="BX7" s="17" t="s">
        <v>394</v>
      </c>
      <c r="BY7" s="783">
        <v>0.27548486360459606</v>
      </c>
      <c r="BZ7" s="784">
        <f>BY7*$BZ$9</f>
        <v>7495194.3201562269</v>
      </c>
      <c r="CA7" s="785"/>
      <c r="CB7" s="785">
        <v>1</v>
      </c>
      <c r="CC7" s="784">
        <f t="shared" si="19"/>
        <v>0</v>
      </c>
      <c r="CD7" s="784">
        <f t="shared" si="19"/>
        <v>7495194.3201562269</v>
      </c>
      <c r="CH7" s="294">
        <f t="shared" si="105"/>
        <v>4</v>
      </c>
      <c r="CI7" s="95">
        <f t="shared" si="20"/>
        <v>4</v>
      </c>
      <c r="CJ7" s="17" t="s">
        <v>407</v>
      </c>
      <c r="CK7" s="301">
        <f t="shared" si="21"/>
        <v>1.3683004219625775E-4</v>
      </c>
      <c r="CL7" s="303">
        <f t="shared" si="22"/>
        <v>858.84563728304636</v>
      </c>
      <c r="CM7" s="301">
        <f t="shared" si="23"/>
        <v>9.7570719487599807E-4</v>
      </c>
      <c r="CN7" s="303">
        <f t="shared" si="24"/>
        <v>20422.087100807676</v>
      </c>
      <c r="CO7" s="303">
        <f t="shared" si="25"/>
        <v>21280.932738090723</v>
      </c>
      <c r="CP7" s="301">
        <f t="shared" si="26"/>
        <v>7.8217783319716567E-4</v>
      </c>
      <c r="CQ7" s="299">
        <f t="shared" si="27"/>
        <v>6.9564859999999999</v>
      </c>
      <c r="CU7" s="389">
        <v>4</v>
      </c>
      <c r="CV7" s="819" t="s">
        <v>72</v>
      </c>
      <c r="CW7" s="635"/>
      <c r="CX7" s="635"/>
      <c r="CY7" s="826"/>
      <c r="CZ7" s="392">
        <f>SUM(CZ4:CZ6)</f>
        <v>317644.00109198852</v>
      </c>
      <c r="DA7" s="392">
        <f>SUM(DA4:DA6)</f>
        <v>3581872.2978801923</v>
      </c>
      <c r="DB7" s="392">
        <f>SUM(DB4:DB6)</f>
        <v>4366245.5636284389</v>
      </c>
      <c r="DC7" s="392">
        <f>SUM(DC4:DC6)</f>
        <v>8265761.8626006199</v>
      </c>
      <c r="DG7" s="773">
        <f t="shared" si="106"/>
        <v>4</v>
      </c>
      <c r="DH7" s="786">
        <f t="shared" si="29"/>
        <v>4</v>
      </c>
      <c r="DI7" s="17" t="s">
        <v>407</v>
      </c>
      <c r="DJ7" s="301">
        <f t="shared" si="30"/>
        <v>7.8217783319716567E-4</v>
      </c>
      <c r="DK7" s="303">
        <f t="shared" si="31"/>
        <v>248.45409650220972</v>
      </c>
      <c r="DL7" s="301">
        <f t="shared" si="32"/>
        <v>9.7570719487599807E-4</v>
      </c>
      <c r="DM7" s="303">
        <f t="shared" si="33"/>
        <v>3494.8585721687277</v>
      </c>
      <c r="DN7" s="301">
        <f t="shared" si="34"/>
        <v>1.3683004219625775E-4</v>
      </c>
      <c r="DO7" s="303">
        <f t="shared" si="35"/>
        <v>597.43356471050254</v>
      </c>
      <c r="DP7" s="303">
        <f t="shared" si="78"/>
        <v>4340.7462333814401</v>
      </c>
      <c r="DQ7" s="301">
        <f t="shared" si="36"/>
        <v>5.2514774869351604E-4</v>
      </c>
      <c r="DR7" s="299">
        <f t="shared" si="37"/>
        <v>1.418939</v>
      </c>
      <c r="DV7" s="773">
        <f t="shared" si="107"/>
        <v>4</v>
      </c>
      <c r="DW7" s="786">
        <f t="shared" si="38"/>
        <v>4</v>
      </c>
      <c r="DX7" s="17" t="s">
        <v>407</v>
      </c>
      <c r="DY7" s="301">
        <f t="shared" si="39"/>
        <v>9.7570719487599807E-4</v>
      </c>
      <c r="DZ7" s="303">
        <f t="shared" si="40"/>
        <v>4233.5956170266663</v>
      </c>
      <c r="EA7" s="299">
        <f t="shared" si="41"/>
        <v>1.383912</v>
      </c>
      <c r="EE7" s="389">
        <v>4</v>
      </c>
      <c r="EF7" s="548" t="s">
        <v>72</v>
      </c>
      <c r="EG7" s="392">
        <f>SUM(EG4:EG6)</f>
        <v>12811237.293366667</v>
      </c>
      <c r="EH7" s="827">
        <f>EG7/$EG$7</f>
        <v>1</v>
      </c>
      <c r="EI7" s="392">
        <f>C10</f>
        <v>13723237.641003413</v>
      </c>
      <c r="EM7" s="773">
        <f t="shared" si="108"/>
        <v>4</v>
      </c>
      <c r="EN7" s="786">
        <f t="shared" si="42"/>
        <v>4</v>
      </c>
      <c r="EO7" s="17" t="s">
        <v>407</v>
      </c>
      <c r="EP7" s="301">
        <f t="shared" si="43"/>
        <v>7.1831675127583157E-4</v>
      </c>
      <c r="EQ7" s="303">
        <f t="shared" si="44"/>
        <v>5997.9152648738745</v>
      </c>
      <c r="ER7" s="301">
        <f t="shared" si="45"/>
        <v>7.8217783319716567E-4</v>
      </c>
      <c r="ES7" s="303">
        <f t="shared" si="46"/>
        <v>857.44076605811222</v>
      </c>
      <c r="ET7" s="301">
        <f t="shared" si="47"/>
        <v>1.3683004219625775E-4</v>
      </c>
      <c r="EU7" s="303">
        <f t="shared" si="48"/>
        <v>585.22983259653256</v>
      </c>
      <c r="EV7" s="303">
        <f t="shared" si="49"/>
        <v>7440.5858635285185</v>
      </c>
      <c r="EW7" s="301">
        <f t="shared" si="50"/>
        <v>5.421888083681453E-4</v>
      </c>
      <c r="EX7" s="299">
        <f t="shared" si="51"/>
        <v>2.4322400000000002</v>
      </c>
      <c r="FD7" s="6"/>
      <c r="FH7" s="773">
        <f t="shared" si="109"/>
        <v>4</v>
      </c>
      <c r="FI7" s="774">
        <f t="shared" si="52"/>
        <v>4</v>
      </c>
      <c r="FJ7" s="17" t="s">
        <v>407</v>
      </c>
      <c r="FK7" s="301">
        <f t="shared" si="53"/>
        <v>7.1831675127583157E-4</v>
      </c>
      <c r="FL7" s="303">
        <f t="shared" si="54"/>
        <v>15963.05766385202</v>
      </c>
      <c r="FM7" s="299">
        <f t="shared" si="55"/>
        <v>5.2181350000000002</v>
      </c>
      <c r="FQ7" s="294">
        <f t="shared" si="79"/>
        <v>4</v>
      </c>
      <c r="FR7" s="774">
        <v>4</v>
      </c>
      <c r="FS7" s="17" t="s">
        <v>407</v>
      </c>
      <c r="FT7" s="303">
        <f t="shared" si="80"/>
        <v>35818.003828839122</v>
      </c>
      <c r="FU7" s="303">
        <f t="shared" si="56"/>
        <v>8733.6738619375428</v>
      </c>
      <c r="FV7" s="303">
        <f t="shared" si="57"/>
        <v>21280.932738090723</v>
      </c>
      <c r="FW7" s="303">
        <f t="shared" si="58"/>
        <v>4340.7462333814401</v>
      </c>
      <c r="FX7" s="303">
        <f t="shared" si="59"/>
        <v>4233.5956170266663</v>
      </c>
      <c r="FY7" s="303">
        <f t="shared" si="60"/>
        <v>7440.5858635285185</v>
      </c>
      <c r="FZ7" s="303">
        <f t="shared" si="61"/>
        <v>15963.05766385202</v>
      </c>
      <c r="GA7" s="303">
        <f t="shared" si="62"/>
        <v>97810.595806656012</v>
      </c>
      <c r="GB7" s="381">
        <f t="shared" si="63"/>
        <v>31.973127999999999</v>
      </c>
      <c r="GF7" s="773">
        <f t="shared" si="81"/>
        <v>4</v>
      </c>
      <c r="GG7" s="774">
        <f t="shared" si="64"/>
        <v>4</v>
      </c>
      <c r="GH7" s="17" t="s">
        <v>407</v>
      </c>
      <c r="GI7" s="299">
        <f t="shared" si="82"/>
        <v>11.708482</v>
      </c>
      <c r="GJ7" s="299">
        <f t="shared" si="65"/>
        <v>2.8549349999999998</v>
      </c>
      <c r="GK7" s="299">
        <f t="shared" si="66"/>
        <v>6.9564859999999999</v>
      </c>
      <c r="GL7" s="299">
        <f t="shared" si="67"/>
        <v>1.418939</v>
      </c>
      <c r="GM7" s="299">
        <f t="shared" si="68"/>
        <v>1.383912</v>
      </c>
      <c r="GN7" s="299">
        <f t="shared" si="69"/>
        <v>2.4322400000000002</v>
      </c>
      <c r="GO7" s="299">
        <f t="shared" si="70"/>
        <v>5.2181350000000002</v>
      </c>
      <c r="GP7" s="299">
        <f t="shared" si="71"/>
        <v>31.973127999999999</v>
      </c>
      <c r="GQ7" s="427">
        <v>305915</v>
      </c>
      <c r="GR7" s="755"/>
      <c r="GU7" s="294">
        <f t="shared" si="83"/>
        <v>4</v>
      </c>
      <c r="GV7" s="774">
        <f>FR7</f>
        <v>4</v>
      </c>
      <c r="GW7" s="17" t="s">
        <v>407</v>
      </c>
      <c r="GX7" s="278" t="s">
        <v>385</v>
      </c>
      <c r="GY7" s="303">
        <f>GA7</f>
        <v>97810.595806656012</v>
      </c>
      <c r="GZ7" s="427">
        <f>VLOOKUP(GV7,$GG$4:$GQ$28,$GZ$35,FALSE)</f>
        <v>305915</v>
      </c>
      <c r="HA7" s="299">
        <f t="shared" si="84"/>
        <v>31.973127999999999</v>
      </c>
      <c r="HB7" s="303">
        <f t="shared" si="72"/>
        <v>97810.594521200008</v>
      </c>
      <c r="HC7" s="788">
        <f t="shared" si="73"/>
        <v>-1.2854560045525432E-3</v>
      </c>
      <c r="HD7" s="789"/>
      <c r="HG7" s="789"/>
      <c r="HH7" s="789"/>
      <c r="HI7" s="789"/>
      <c r="HJ7" s="789"/>
      <c r="HK7" s="789"/>
      <c r="HL7" s="789"/>
      <c r="HM7" s="789"/>
      <c r="HP7" s="773">
        <f t="shared" si="110"/>
        <v>4</v>
      </c>
      <c r="HQ7" s="792">
        <f>FR7</f>
        <v>4</v>
      </c>
      <c r="HR7" s="17" t="s">
        <v>407</v>
      </c>
      <c r="HS7" s="427">
        <v>305915</v>
      </c>
      <c r="HT7" s="793">
        <f t="shared" si="85"/>
        <v>31.973127999999999</v>
      </c>
      <c r="HU7" s="793">
        <v>21.385000000000002</v>
      </c>
      <c r="HV7" s="783">
        <f t="shared" si="86"/>
        <v>0.49511938274491452</v>
      </c>
      <c r="HW7" s="793">
        <f t="shared" si="87"/>
        <v>10.588127999999998</v>
      </c>
      <c r="HX7" s="785">
        <v>25</v>
      </c>
      <c r="IO7" s="773">
        <f t="shared" si="111"/>
        <v>4</v>
      </c>
      <c r="IP7" s="792">
        <v>4</v>
      </c>
      <c r="IQ7" s="17" t="s">
        <v>407</v>
      </c>
      <c r="IR7" s="799">
        <f t="shared" si="88"/>
        <v>97810.595806656012</v>
      </c>
      <c r="IS7" s="800">
        <f t="shared" si="88"/>
        <v>305915</v>
      </c>
      <c r="IT7" s="801">
        <f t="shared" si="88"/>
        <v>31.973127999999999</v>
      </c>
      <c r="IU7" s="427">
        <f t="shared" si="89"/>
        <v>43792.906910265468</v>
      </c>
      <c r="IV7" s="427">
        <f t="shared" si="90"/>
        <v>262122.09308973452</v>
      </c>
      <c r="IW7" s="799">
        <f t="shared" si="91"/>
        <v>656.89360365398204</v>
      </c>
      <c r="IX7" s="799">
        <f t="shared" si="92"/>
        <v>97153.702203002031</v>
      </c>
      <c r="IY7" s="670">
        <f t="shared" si="93"/>
        <v>31.758397660461902</v>
      </c>
      <c r="IZ7" s="670">
        <f t="shared" si="94"/>
        <v>33.258397660461902</v>
      </c>
      <c r="JA7" s="799">
        <f t="shared" si="95"/>
        <v>97810.595806656012</v>
      </c>
      <c r="JB7" s="381">
        <f t="shared" si="96"/>
        <v>0.21473033953809662</v>
      </c>
      <c r="JF7" s="773">
        <f t="shared" si="112"/>
        <v>4</v>
      </c>
      <c r="JG7" s="792">
        <f>FR7</f>
        <v>4</v>
      </c>
      <c r="JH7" s="17" t="s">
        <v>407</v>
      </c>
      <c r="JI7" s="427">
        <v>305915</v>
      </c>
      <c r="JJ7" s="793">
        <f t="shared" si="97"/>
        <v>31.758397660461902</v>
      </c>
      <c r="JK7" s="793">
        <v>21.166</v>
      </c>
      <c r="JL7" s="783">
        <f t="shared" ref="JL7:JL28" si="114">IF(JK7&lt;&gt;0,JJ7/JK7-1,"")</f>
        <v>0.5004439979430173</v>
      </c>
      <c r="JM7" s="793">
        <f t="shared" si="99"/>
        <v>10.592397660461902</v>
      </c>
      <c r="JN7" s="785">
        <v>25</v>
      </c>
    </row>
    <row r="8" spans="1:277" x14ac:dyDescent="0.3">
      <c r="A8" s="768">
        <v>5</v>
      </c>
      <c r="B8" s="769" t="s">
        <v>53</v>
      </c>
      <c r="C8" s="339">
        <f>'Phase I Schedules'!MF18</f>
        <v>8265761.8626006208</v>
      </c>
      <c r="D8" s="770">
        <f t="shared" si="0"/>
        <v>5.9239498442752156E-2</v>
      </c>
      <c r="E8" s="771">
        <v>0.36971202603463738</v>
      </c>
      <c r="I8" s="294">
        <f t="shared" si="100"/>
        <v>5</v>
      </c>
      <c r="J8" s="772">
        <f t="shared" si="1"/>
        <v>5</v>
      </c>
      <c r="K8" s="17" t="s">
        <v>408</v>
      </c>
      <c r="L8" s="427">
        <v>4165989</v>
      </c>
      <c r="M8" s="301">
        <f t="shared" si="2"/>
        <v>1.8633687483750245E-3</v>
      </c>
      <c r="N8" s="427">
        <v>1776</v>
      </c>
      <c r="O8" s="427">
        <f t="shared" si="74"/>
        <v>2345.7145270270271</v>
      </c>
      <c r="P8" s="301">
        <f t="shared" si="3"/>
        <v>1.2718702645987325E-3</v>
      </c>
      <c r="Q8" s="278" t="s">
        <v>385</v>
      </c>
      <c r="U8" s="773">
        <f t="shared" si="101"/>
        <v>5</v>
      </c>
      <c r="V8" s="774">
        <f t="shared" si="4"/>
        <v>5</v>
      </c>
      <c r="W8" s="17" t="s">
        <v>408</v>
      </c>
      <c r="X8" s="303">
        <f t="shared" si="75"/>
        <v>314333.97818204295</v>
      </c>
      <c r="Y8" s="301">
        <f t="shared" si="5"/>
        <v>3.03454657268932E-3</v>
      </c>
      <c r="AC8" s="773">
        <f t="shared" si="102"/>
        <v>5</v>
      </c>
      <c r="AD8" s="95">
        <v>5</v>
      </c>
      <c r="AE8" s="305" t="s">
        <v>408</v>
      </c>
      <c r="AF8" s="330">
        <v>8.11</v>
      </c>
      <c r="AJ8" s="720"/>
      <c r="AP8" s="773">
        <f t="shared" si="77"/>
        <v>5</v>
      </c>
      <c r="AQ8" s="779">
        <f t="shared" si="6"/>
        <v>5</v>
      </c>
      <c r="AR8" s="17" t="s">
        <v>408</v>
      </c>
      <c r="AS8" s="17">
        <f t="shared" si="7"/>
        <v>8.11</v>
      </c>
      <c r="AT8" s="780">
        <v>4165989</v>
      </c>
      <c r="AU8" s="780">
        <f t="shared" si="103"/>
        <v>9385.0474416666657</v>
      </c>
      <c r="AV8" s="781">
        <f t="shared" si="8"/>
        <v>9231.7745065045292</v>
      </c>
      <c r="AW8" s="782">
        <f t="shared" si="9"/>
        <v>21.511220758941374</v>
      </c>
      <c r="AX8" s="303">
        <f t="shared" si="113"/>
        <v>198586.73940618598</v>
      </c>
      <c r="AY8" s="301">
        <f t="shared" si="10"/>
        <v>4.4096321159946177E-3</v>
      </c>
      <c r="AZ8" s="299">
        <f t="shared" si="11"/>
        <v>4.7668569999999999</v>
      </c>
      <c r="BK8" s="294">
        <f t="shared" si="104"/>
        <v>5</v>
      </c>
      <c r="BL8" s="278">
        <f t="shared" si="12"/>
        <v>5</v>
      </c>
      <c r="BM8" s="17" t="s">
        <v>408</v>
      </c>
      <c r="BN8" s="301">
        <f t="shared" si="13"/>
        <v>4.4096321159946177E-3</v>
      </c>
      <c r="BO8" s="303">
        <f t="shared" si="14"/>
        <v>41314.606260491732</v>
      </c>
      <c r="BP8" s="301">
        <f t="shared" si="15"/>
        <v>1.8633687483750245E-3</v>
      </c>
      <c r="BQ8" s="303">
        <f t="shared" si="16"/>
        <v>17458.22420831475</v>
      </c>
      <c r="BR8" s="530">
        <f t="shared" si="17"/>
        <v>58772.830468806482</v>
      </c>
      <c r="BS8" s="299">
        <f t="shared" si="18"/>
        <v>1.4107769999999999</v>
      </c>
      <c r="BW8" s="428">
        <f>+BW7+1</f>
        <v>5</v>
      </c>
      <c r="BX8" s="569" t="s">
        <v>395</v>
      </c>
      <c r="BY8" s="816">
        <v>0.37594143122204682</v>
      </c>
      <c r="BZ8" s="828">
        <f>BY8*$BZ$9</f>
        <v>10228344.465600897</v>
      </c>
      <c r="CA8" s="829"/>
      <c r="CB8" s="829">
        <v>1</v>
      </c>
      <c r="CC8" s="828">
        <f t="shared" si="19"/>
        <v>0</v>
      </c>
      <c r="CD8" s="828">
        <f t="shared" si="19"/>
        <v>10228344.465600897</v>
      </c>
      <c r="CH8" s="294">
        <f t="shared" si="105"/>
        <v>5</v>
      </c>
      <c r="CI8" s="95">
        <f t="shared" si="20"/>
        <v>5</v>
      </c>
      <c r="CJ8" s="17" t="s">
        <v>408</v>
      </c>
      <c r="CK8" s="301">
        <f t="shared" si="21"/>
        <v>1.8633687483750245E-3</v>
      </c>
      <c r="CL8" s="303">
        <f t="shared" si="22"/>
        <v>11695.868060144683</v>
      </c>
      <c r="CM8" s="301">
        <f t="shared" si="23"/>
        <v>1.2718702645987325E-3</v>
      </c>
      <c r="CN8" s="303">
        <f t="shared" si="24"/>
        <v>26620.94269773594</v>
      </c>
      <c r="CO8" s="303">
        <f t="shared" si="25"/>
        <v>38316.810757880623</v>
      </c>
      <c r="CP8" s="301">
        <f t="shared" si="26"/>
        <v>1.4083292486508656E-3</v>
      </c>
      <c r="CQ8" s="299">
        <f t="shared" si="27"/>
        <v>0.91975300000000004</v>
      </c>
      <c r="CW8" s="305"/>
      <c r="CX8" s="305"/>
      <c r="CY8" s="305"/>
      <c r="CZ8" s="305"/>
      <c r="DA8" s="305"/>
      <c r="DB8" s="305"/>
      <c r="DC8" s="305"/>
      <c r="DG8" s="773">
        <f t="shared" si="106"/>
        <v>5</v>
      </c>
      <c r="DH8" s="786">
        <f t="shared" si="29"/>
        <v>5</v>
      </c>
      <c r="DI8" s="17" t="s">
        <v>408</v>
      </c>
      <c r="DJ8" s="301">
        <f t="shared" si="30"/>
        <v>1.4083292486508656E-3</v>
      </c>
      <c r="DK8" s="303">
        <f t="shared" si="31"/>
        <v>447.34733739633492</v>
      </c>
      <c r="DL8" s="301">
        <f t="shared" si="32"/>
        <v>1.2718702645987325E-3</v>
      </c>
      <c r="DM8" s="303">
        <f t="shared" si="33"/>
        <v>4555.67686726375</v>
      </c>
      <c r="DN8" s="301">
        <f t="shared" si="34"/>
        <v>1.8633687483750245E-3</v>
      </c>
      <c r="DO8" s="303">
        <f t="shared" si="35"/>
        <v>8135.9255309963273</v>
      </c>
      <c r="DP8" s="303">
        <f t="shared" si="78"/>
        <v>13138.949735656413</v>
      </c>
      <c r="DQ8" s="301">
        <f t="shared" si="36"/>
        <v>1.5895630619489638E-3</v>
      </c>
      <c r="DR8" s="299">
        <f t="shared" si="37"/>
        <v>0.315386</v>
      </c>
      <c r="DV8" s="773">
        <f t="shared" si="107"/>
        <v>5</v>
      </c>
      <c r="DW8" s="786">
        <f t="shared" si="38"/>
        <v>5</v>
      </c>
      <c r="DX8" s="17" t="s">
        <v>408</v>
      </c>
      <c r="DY8" s="301">
        <f t="shared" si="39"/>
        <v>1.2718702645987325E-3</v>
      </c>
      <c r="DZ8" s="303">
        <f t="shared" si="40"/>
        <v>5518.6478135134212</v>
      </c>
      <c r="EA8" s="299">
        <f t="shared" si="41"/>
        <v>0.132469</v>
      </c>
      <c r="EM8" s="773">
        <f t="shared" si="108"/>
        <v>5</v>
      </c>
      <c r="EN8" s="786">
        <f t="shared" si="42"/>
        <v>5</v>
      </c>
      <c r="EO8" s="17" t="s">
        <v>408</v>
      </c>
      <c r="EP8" s="301">
        <f t="shared" si="43"/>
        <v>3.03454657268932E-3</v>
      </c>
      <c r="EQ8" s="303">
        <f t="shared" si="44"/>
        <v>25338.338801060279</v>
      </c>
      <c r="ER8" s="301">
        <f t="shared" si="45"/>
        <v>1.4083292486508656E-3</v>
      </c>
      <c r="ES8" s="303">
        <f t="shared" si="46"/>
        <v>1543.8418970393543</v>
      </c>
      <c r="ET8" s="301">
        <f t="shared" si="47"/>
        <v>1.8633687483750245E-3</v>
      </c>
      <c r="EU8" s="303">
        <f t="shared" si="48"/>
        <v>7969.7335700079957</v>
      </c>
      <c r="EV8" s="303">
        <f t="shared" si="49"/>
        <v>34851.914268107626</v>
      </c>
      <c r="EW8" s="301">
        <f t="shared" si="50"/>
        <v>2.5396276869806746E-3</v>
      </c>
      <c r="EX8" s="299">
        <f t="shared" si="51"/>
        <v>0.83658200000000005</v>
      </c>
      <c r="FH8" s="773">
        <f t="shared" si="109"/>
        <v>5</v>
      </c>
      <c r="FI8" s="774">
        <f t="shared" si="52"/>
        <v>5</v>
      </c>
      <c r="FJ8" s="17" t="s">
        <v>408</v>
      </c>
      <c r="FK8" s="301">
        <f t="shared" si="53"/>
        <v>3.03454657268932E-3</v>
      </c>
      <c r="FL8" s="303">
        <f t="shared" si="54"/>
        <v>67436.325043856676</v>
      </c>
      <c r="FM8" s="299">
        <f t="shared" si="55"/>
        <v>1.618735</v>
      </c>
      <c r="FQ8" s="294">
        <f t="shared" si="79"/>
        <v>5</v>
      </c>
      <c r="FR8" s="774">
        <v>5</v>
      </c>
      <c r="FS8" s="17" t="s">
        <v>408</v>
      </c>
      <c r="FT8" s="303">
        <f t="shared" si="80"/>
        <v>198586.73940618598</v>
      </c>
      <c r="FU8" s="303">
        <f t="shared" si="56"/>
        <v>58772.830468806482</v>
      </c>
      <c r="FV8" s="303">
        <f t="shared" si="57"/>
        <v>38316.810757880623</v>
      </c>
      <c r="FW8" s="303">
        <f t="shared" si="58"/>
        <v>13138.949735656413</v>
      </c>
      <c r="FX8" s="303">
        <f t="shared" si="59"/>
        <v>5518.6478135134212</v>
      </c>
      <c r="FY8" s="303">
        <f t="shared" si="60"/>
        <v>34851.914268107626</v>
      </c>
      <c r="FZ8" s="303">
        <f t="shared" si="61"/>
        <v>67436.325043856676</v>
      </c>
      <c r="GA8" s="303">
        <f t="shared" si="62"/>
        <v>416622.21749400726</v>
      </c>
      <c r="GB8" s="381">
        <f t="shared" si="63"/>
        <v>10.00056</v>
      </c>
      <c r="GF8" s="773">
        <f t="shared" si="81"/>
        <v>5</v>
      </c>
      <c r="GG8" s="774">
        <f t="shared" si="64"/>
        <v>5</v>
      </c>
      <c r="GH8" s="17" t="s">
        <v>408</v>
      </c>
      <c r="GI8" s="299">
        <f t="shared" si="82"/>
        <v>4.7668569999999999</v>
      </c>
      <c r="GJ8" s="299">
        <f t="shared" si="65"/>
        <v>1.4107769999999999</v>
      </c>
      <c r="GK8" s="299">
        <f t="shared" si="66"/>
        <v>0.91975300000000004</v>
      </c>
      <c r="GL8" s="299">
        <f t="shared" si="67"/>
        <v>0.315386</v>
      </c>
      <c r="GM8" s="299">
        <f t="shared" si="68"/>
        <v>0.132469</v>
      </c>
      <c r="GN8" s="299">
        <f t="shared" si="69"/>
        <v>0.83658200000000005</v>
      </c>
      <c r="GO8" s="299">
        <f t="shared" si="70"/>
        <v>1.618735</v>
      </c>
      <c r="GP8" s="299">
        <f t="shared" si="71"/>
        <v>10.00056</v>
      </c>
      <c r="GQ8" s="427">
        <v>4165989</v>
      </c>
      <c r="GR8" s="755"/>
      <c r="GU8" s="294">
        <f t="shared" si="83"/>
        <v>5</v>
      </c>
      <c r="GV8" s="774">
        <f>FR8</f>
        <v>5</v>
      </c>
      <c r="GW8" s="17" t="s">
        <v>408</v>
      </c>
      <c r="GX8" s="278" t="s">
        <v>385</v>
      </c>
      <c r="GY8" s="303">
        <f>GA8</f>
        <v>416622.21749400726</v>
      </c>
      <c r="GZ8" s="427">
        <f>VLOOKUP(GV8,$GG$4:$GQ$28,$GZ$35,FALSE)</f>
        <v>4165989</v>
      </c>
      <c r="HA8" s="299">
        <f t="shared" si="84"/>
        <v>10.00056</v>
      </c>
      <c r="HB8" s="303">
        <f t="shared" si="72"/>
        <v>416622.22953840002</v>
      </c>
      <c r="HC8" s="788">
        <f t="shared" si="73"/>
        <v>1.2044392758980393E-2</v>
      </c>
      <c r="HD8" s="789"/>
      <c r="HG8" s="789"/>
      <c r="HH8" s="789"/>
      <c r="HI8" s="789"/>
      <c r="HJ8" s="789"/>
      <c r="HK8" s="789"/>
      <c r="HL8" s="789"/>
      <c r="HM8" s="789"/>
      <c r="HP8" s="773">
        <f t="shared" si="110"/>
        <v>5</v>
      </c>
      <c r="HQ8" s="792">
        <f>FR8</f>
        <v>5</v>
      </c>
      <c r="HR8" s="17" t="s">
        <v>408</v>
      </c>
      <c r="HS8" s="427">
        <v>4165989</v>
      </c>
      <c r="HT8" s="793">
        <f t="shared" si="85"/>
        <v>10.00056</v>
      </c>
      <c r="HU8" s="793">
        <v>8.3930000000000007</v>
      </c>
      <c r="HV8" s="783">
        <f t="shared" si="86"/>
        <v>0.1915358036458954</v>
      </c>
      <c r="HW8" s="793">
        <f t="shared" si="87"/>
        <v>1.6075599999999994</v>
      </c>
      <c r="HX8" s="785">
        <v>10</v>
      </c>
      <c r="IO8" s="773">
        <f t="shared" si="111"/>
        <v>5</v>
      </c>
      <c r="IP8" s="792">
        <v>5</v>
      </c>
      <c r="IQ8" s="17" t="s">
        <v>408</v>
      </c>
      <c r="IR8" s="799">
        <f t="shared" si="88"/>
        <v>416622.21749400726</v>
      </c>
      <c r="IS8" s="800">
        <f t="shared" si="88"/>
        <v>4165989</v>
      </c>
      <c r="IT8" s="801">
        <f t="shared" si="88"/>
        <v>10.00056</v>
      </c>
      <c r="IU8" s="427">
        <f t="shared" si="89"/>
        <v>596377.32202144363</v>
      </c>
      <c r="IV8" s="427">
        <f t="shared" si="90"/>
        <v>3569611.6779785566</v>
      </c>
      <c r="IW8" s="799">
        <f t="shared" si="91"/>
        <v>8945.6598303216542</v>
      </c>
      <c r="IX8" s="799">
        <f t="shared" si="92"/>
        <v>407676.55766368558</v>
      </c>
      <c r="IY8" s="670">
        <f t="shared" si="93"/>
        <v>9.7858289511490693</v>
      </c>
      <c r="IZ8" s="670">
        <f>IY8+1.5</f>
        <v>11.285828951149069</v>
      </c>
      <c r="JA8" s="799">
        <f t="shared" si="95"/>
        <v>416622.21749400726</v>
      </c>
      <c r="JB8" s="381">
        <f t="shared" si="96"/>
        <v>0.21473104885093086</v>
      </c>
      <c r="JF8" s="773">
        <f t="shared" si="112"/>
        <v>5</v>
      </c>
      <c r="JG8" s="792">
        <f>FR8</f>
        <v>5</v>
      </c>
      <c r="JH8" s="17" t="s">
        <v>408</v>
      </c>
      <c r="JI8" s="427">
        <v>4165989</v>
      </c>
      <c r="JJ8" s="793">
        <f t="shared" si="97"/>
        <v>9.7858289511490693</v>
      </c>
      <c r="JK8" s="793">
        <v>8.1739999999999995</v>
      </c>
      <c r="JL8" s="783">
        <f t="shared" si="114"/>
        <v>0.19718974200502437</v>
      </c>
      <c r="JM8" s="793">
        <f t="shared" si="99"/>
        <v>1.6118289511490698</v>
      </c>
      <c r="JN8" s="785">
        <v>10</v>
      </c>
    </row>
    <row r="9" spans="1:277" ht="17.25" thickBot="1" x14ac:dyDescent="0.35">
      <c r="A9" s="294">
        <v>6</v>
      </c>
      <c r="B9" s="787" t="s">
        <v>51</v>
      </c>
      <c r="C9" s="303">
        <f>'Phase I Schedules'!MF19</f>
        <v>4339002.150706402</v>
      </c>
      <c r="D9" s="783">
        <f t="shared" si="0"/>
        <v>3.1096989657163763E-2</v>
      </c>
      <c r="E9" s="785">
        <v>0.19407542858990573</v>
      </c>
      <c r="I9" s="294">
        <f t="shared" si="100"/>
        <v>6</v>
      </c>
      <c r="J9" s="772">
        <f t="shared" si="1"/>
        <v>6</v>
      </c>
      <c r="K9" s="17" t="s">
        <v>409</v>
      </c>
      <c r="L9" s="427">
        <v>41244412</v>
      </c>
      <c r="M9" s="301">
        <f t="shared" si="2"/>
        <v>1.8447851966460746E-2</v>
      </c>
      <c r="N9" s="427">
        <v>863</v>
      </c>
      <c r="O9" s="427">
        <f t="shared" si="74"/>
        <v>47791.90266512167</v>
      </c>
      <c r="P9" s="301">
        <f t="shared" si="3"/>
        <v>2.591325550829264E-2</v>
      </c>
      <c r="Q9" s="278" t="s">
        <v>385</v>
      </c>
      <c r="U9" s="773">
        <f t="shared" si="101"/>
        <v>6</v>
      </c>
      <c r="V9" s="774">
        <f t="shared" si="4"/>
        <v>6</v>
      </c>
      <c r="W9" s="17" t="s">
        <v>409</v>
      </c>
      <c r="X9" s="303">
        <f t="shared" si="75"/>
        <v>2773296.7617104049</v>
      </c>
      <c r="Y9" s="301">
        <f t="shared" si="5"/>
        <v>2.6773110027656134E-2</v>
      </c>
      <c r="AC9" s="773">
        <f t="shared" si="102"/>
        <v>6</v>
      </c>
      <c r="AD9" s="95">
        <v>6</v>
      </c>
      <c r="AE9" s="305" t="s">
        <v>409</v>
      </c>
      <c r="AF9" s="330">
        <v>5.63</v>
      </c>
      <c r="AP9" s="773">
        <f t="shared" si="77"/>
        <v>6</v>
      </c>
      <c r="AQ9" s="779">
        <f t="shared" si="6"/>
        <v>6</v>
      </c>
      <c r="AR9" s="17" t="s">
        <v>409</v>
      </c>
      <c r="AS9" s="17">
        <f t="shared" si="7"/>
        <v>5.63</v>
      </c>
      <c r="AT9" s="780">
        <v>41244412</v>
      </c>
      <c r="AU9" s="780">
        <f t="shared" si="103"/>
        <v>64501.677655555555</v>
      </c>
      <c r="AV9" s="781">
        <f t="shared" si="8"/>
        <v>63448.261408211227</v>
      </c>
      <c r="AW9" s="782">
        <f t="shared" si="9"/>
        <v>21.511220758941374</v>
      </c>
      <c r="AX9" s="303">
        <f t="shared" si="113"/>
        <v>1364849.5579230522</v>
      </c>
      <c r="AY9" s="301">
        <f t="shared" si="10"/>
        <v>3.030657768043837E-2</v>
      </c>
      <c r="AZ9" s="299">
        <f t="shared" si="11"/>
        <v>3.3091740000000001</v>
      </c>
      <c r="BK9" s="294">
        <f t="shared" si="104"/>
        <v>6</v>
      </c>
      <c r="BL9" s="278">
        <f t="shared" si="12"/>
        <v>6</v>
      </c>
      <c r="BM9" s="17" t="s">
        <v>409</v>
      </c>
      <c r="BN9" s="301">
        <f t="shared" si="13"/>
        <v>3.030657768043837E-2</v>
      </c>
      <c r="BO9" s="303">
        <f t="shared" si="14"/>
        <v>283947.57000900037</v>
      </c>
      <c r="BP9" s="301">
        <f t="shared" si="15"/>
        <v>1.8447851966460746E-2</v>
      </c>
      <c r="BQ9" s="303">
        <f t="shared" si="16"/>
        <v>172841.11696792941</v>
      </c>
      <c r="BR9" s="530">
        <f t="shared" si="17"/>
        <v>456788.68697692978</v>
      </c>
      <c r="BS9" s="299">
        <f t="shared" si="18"/>
        <v>1.1075170000000001</v>
      </c>
      <c r="BW9" s="389">
        <v>6</v>
      </c>
      <c r="BX9" s="819" t="s">
        <v>72</v>
      </c>
      <c r="BY9" s="827">
        <f>SUM(BY4:BY8)</f>
        <v>1.0000000000000011</v>
      </c>
      <c r="BZ9" s="830">
        <f>'Phase II Schedules'!C7</f>
        <v>27207281.816085886</v>
      </c>
      <c r="CA9" s="831"/>
      <c r="CB9" s="831"/>
      <c r="CC9" s="830">
        <f>SUM(CC4:CC8)</f>
        <v>6276732.9710473148</v>
      </c>
      <c r="CD9" s="830">
        <f>SUM(CD4:CD8)</f>
        <v>20930548.8450386</v>
      </c>
      <c r="CH9" s="294">
        <f t="shared" si="105"/>
        <v>6</v>
      </c>
      <c r="CI9" s="95">
        <f t="shared" si="20"/>
        <v>6</v>
      </c>
      <c r="CJ9" s="17" t="s">
        <v>409</v>
      </c>
      <c r="CK9" s="301">
        <f t="shared" si="21"/>
        <v>1.8447851966460746E-2</v>
      </c>
      <c r="CL9" s="303">
        <f t="shared" si="22"/>
        <v>115792.24068288421</v>
      </c>
      <c r="CM9" s="301">
        <f t="shared" si="23"/>
        <v>2.591325550829264E-2</v>
      </c>
      <c r="CN9" s="303">
        <f t="shared" si="24"/>
        <v>542378.66015028465</v>
      </c>
      <c r="CO9" s="303">
        <f t="shared" si="25"/>
        <v>658170.90083316888</v>
      </c>
      <c r="CP9" s="301">
        <f t="shared" si="26"/>
        <v>2.4190983328736461E-2</v>
      </c>
      <c r="CQ9" s="299">
        <f t="shared" si="27"/>
        <v>1.595782</v>
      </c>
      <c r="DG9" s="773">
        <f t="shared" si="106"/>
        <v>6</v>
      </c>
      <c r="DH9" s="786">
        <f t="shared" si="29"/>
        <v>6</v>
      </c>
      <c r="DI9" s="17" t="s">
        <v>409</v>
      </c>
      <c r="DJ9" s="301">
        <f t="shared" si="30"/>
        <v>2.4190983328736461E-2</v>
      </c>
      <c r="DK9" s="303">
        <f t="shared" si="31"/>
        <v>7684.1207348894404</v>
      </c>
      <c r="DL9" s="301">
        <f t="shared" si="32"/>
        <v>2.591325550829264E-2</v>
      </c>
      <c r="DM9" s="303">
        <f t="shared" si="33"/>
        <v>92817.972053044708</v>
      </c>
      <c r="DN9" s="301">
        <f t="shared" si="34"/>
        <v>1.8447851966460746E-2</v>
      </c>
      <c r="DO9" s="303">
        <f t="shared" si="35"/>
        <v>80547.85180703341</v>
      </c>
      <c r="DP9" s="303">
        <f t="shared" si="78"/>
        <v>181049.94459496756</v>
      </c>
      <c r="DQ9" s="301">
        <f t="shared" si="36"/>
        <v>2.1903600370360127E-2</v>
      </c>
      <c r="DR9" s="299">
        <f t="shared" si="37"/>
        <v>0.43896800000000002</v>
      </c>
      <c r="DV9" s="773">
        <f t="shared" si="107"/>
        <v>6</v>
      </c>
      <c r="DW9" s="786">
        <f t="shared" si="38"/>
        <v>6</v>
      </c>
      <c r="DX9" s="17" t="s">
        <v>409</v>
      </c>
      <c r="DY9" s="301">
        <f t="shared" si="39"/>
        <v>2.591325550829264E-2</v>
      </c>
      <c r="DZ9" s="303">
        <f t="shared" si="40"/>
        <v>112437.67138228628</v>
      </c>
      <c r="EA9" s="299">
        <f t="shared" si="41"/>
        <v>0.27261299999999999</v>
      </c>
      <c r="EM9" s="773">
        <f t="shared" si="108"/>
        <v>6</v>
      </c>
      <c r="EN9" s="786">
        <f t="shared" si="42"/>
        <v>6</v>
      </c>
      <c r="EO9" s="17" t="s">
        <v>409</v>
      </c>
      <c r="EP9" s="301">
        <f t="shared" si="43"/>
        <v>2.6773110027656134E-2</v>
      </c>
      <c r="EQ9" s="303">
        <f t="shared" si="44"/>
        <v>223554.36517080912</v>
      </c>
      <c r="ER9" s="301">
        <f t="shared" si="45"/>
        <v>2.4190983328736461E-2</v>
      </c>
      <c r="ES9" s="303">
        <f t="shared" si="46"/>
        <v>26518.694850129097</v>
      </c>
      <c r="ET9" s="301">
        <f t="shared" si="47"/>
        <v>1.8447851966460746E-2</v>
      </c>
      <c r="EU9" s="303">
        <f t="shared" si="48"/>
        <v>78902.50667767979</v>
      </c>
      <c r="EV9" s="303">
        <f t="shared" si="49"/>
        <v>328975.566698618</v>
      </c>
      <c r="EW9" s="301">
        <f t="shared" si="50"/>
        <v>2.397215404298457E-2</v>
      </c>
      <c r="EX9" s="299">
        <f t="shared" si="51"/>
        <v>0.79762500000000003</v>
      </c>
      <c r="FH9" s="773">
        <f t="shared" si="109"/>
        <v>6</v>
      </c>
      <c r="FI9" s="774">
        <f t="shared" si="52"/>
        <v>6</v>
      </c>
      <c r="FJ9" s="17" t="s">
        <v>409</v>
      </c>
      <c r="FK9" s="301">
        <f t="shared" si="53"/>
        <v>2.6773110027656134E-2</v>
      </c>
      <c r="FL9" s="303">
        <f t="shared" si="54"/>
        <v>594975.26467681758</v>
      </c>
      <c r="FM9" s="299">
        <f t="shared" si="55"/>
        <v>1.4425600000000001</v>
      </c>
      <c r="FQ9" s="294">
        <f t="shared" si="79"/>
        <v>6</v>
      </c>
      <c r="FR9" s="774">
        <v>6</v>
      </c>
      <c r="FS9" s="17" t="s">
        <v>409</v>
      </c>
      <c r="FT9" s="303">
        <f t="shared" si="80"/>
        <v>1364849.5579230522</v>
      </c>
      <c r="FU9" s="303">
        <f t="shared" si="56"/>
        <v>456788.68697692978</v>
      </c>
      <c r="FV9" s="303">
        <f t="shared" si="57"/>
        <v>658170.90083316888</v>
      </c>
      <c r="FW9" s="303">
        <f t="shared" si="58"/>
        <v>181049.94459496756</v>
      </c>
      <c r="FX9" s="303">
        <f t="shared" si="59"/>
        <v>112437.67138228628</v>
      </c>
      <c r="FY9" s="303">
        <f t="shared" si="60"/>
        <v>328975.566698618</v>
      </c>
      <c r="FZ9" s="303">
        <f t="shared" si="61"/>
        <v>594975.26467681758</v>
      </c>
      <c r="GA9" s="303">
        <f t="shared" si="62"/>
        <v>3697247.5930858403</v>
      </c>
      <c r="GB9" s="381">
        <f t="shared" si="63"/>
        <v>8.9642389999999992</v>
      </c>
      <c r="GF9" s="773">
        <f t="shared" si="81"/>
        <v>6</v>
      </c>
      <c r="GG9" s="774">
        <f t="shared" si="64"/>
        <v>6</v>
      </c>
      <c r="GH9" s="17" t="s">
        <v>409</v>
      </c>
      <c r="GI9" s="299">
        <f t="shared" si="82"/>
        <v>3.3091740000000001</v>
      </c>
      <c r="GJ9" s="299">
        <f t="shared" si="65"/>
        <v>1.1075170000000001</v>
      </c>
      <c r="GK9" s="299">
        <f t="shared" si="66"/>
        <v>1.595782</v>
      </c>
      <c r="GL9" s="299">
        <f t="shared" si="67"/>
        <v>0.43896800000000002</v>
      </c>
      <c r="GM9" s="299">
        <f t="shared" si="68"/>
        <v>0.27261299999999999</v>
      </c>
      <c r="GN9" s="299">
        <f t="shared" si="69"/>
        <v>0.79762500000000003</v>
      </c>
      <c r="GO9" s="299">
        <f t="shared" si="70"/>
        <v>1.4425600000000001</v>
      </c>
      <c r="GP9" s="299">
        <f t="shared" si="71"/>
        <v>8.9642389999999992</v>
      </c>
      <c r="GQ9" s="427">
        <v>41244412</v>
      </c>
      <c r="GR9" s="755"/>
      <c r="GU9" s="294">
        <f t="shared" si="83"/>
        <v>6</v>
      </c>
      <c r="GV9" s="774">
        <f>FR9</f>
        <v>6</v>
      </c>
      <c r="GW9" s="17" t="s">
        <v>409</v>
      </c>
      <c r="GX9" s="278" t="s">
        <v>385</v>
      </c>
      <c r="GY9" s="303">
        <f>GA9</f>
        <v>3697247.5930858403</v>
      </c>
      <c r="GZ9" s="427">
        <f>VLOOKUP(GV9,$GG$4:$GQ$28,$GZ$35,FALSE)</f>
        <v>41244412</v>
      </c>
      <c r="HA9" s="299">
        <f t="shared" si="84"/>
        <v>8.9642389999999992</v>
      </c>
      <c r="HB9" s="303">
        <f t="shared" si="72"/>
        <v>3697247.6658246797</v>
      </c>
      <c r="HC9" s="788">
        <f t="shared" si="73"/>
        <v>7.2738839313387871E-2</v>
      </c>
      <c r="HD9" s="789"/>
      <c r="HG9" s="789"/>
      <c r="HH9" s="789"/>
      <c r="HI9" s="789"/>
      <c r="HJ9" s="789"/>
      <c r="HK9" s="789"/>
      <c r="HL9" s="789"/>
      <c r="HM9" s="789"/>
      <c r="HP9" s="773">
        <f t="shared" si="110"/>
        <v>6</v>
      </c>
      <c r="HQ9" s="792">
        <f>FR9</f>
        <v>6</v>
      </c>
      <c r="HR9" s="17" t="s">
        <v>409</v>
      </c>
      <c r="HS9" s="427">
        <v>41244412</v>
      </c>
      <c r="HT9" s="793">
        <f t="shared" si="85"/>
        <v>8.9642389999999992</v>
      </c>
      <c r="HU9" s="793">
        <v>8.2330000000000005</v>
      </c>
      <c r="HV9" s="783">
        <f t="shared" si="86"/>
        <v>8.8818049313737157E-2</v>
      </c>
      <c r="HW9" s="793">
        <f t="shared" si="87"/>
        <v>0.73123899999999864</v>
      </c>
      <c r="HX9" s="785">
        <v>10</v>
      </c>
      <c r="IO9" s="773">
        <f t="shared" si="111"/>
        <v>6</v>
      </c>
      <c r="IP9" s="792">
        <v>6</v>
      </c>
      <c r="IQ9" s="17" t="s">
        <v>409</v>
      </c>
      <c r="IR9" s="799">
        <f t="shared" si="88"/>
        <v>3697247.5930858403</v>
      </c>
      <c r="IS9" s="800">
        <f t="shared" si="88"/>
        <v>41244412</v>
      </c>
      <c r="IT9" s="801">
        <f t="shared" si="88"/>
        <v>8.9642389999999992</v>
      </c>
      <c r="IU9" s="427">
        <f t="shared" si="89"/>
        <v>5904295.949151352</v>
      </c>
      <c r="IV9" s="427">
        <f t="shared" si="90"/>
        <v>35340116.050848648</v>
      </c>
      <c r="IW9" s="799">
        <f t="shared" si="91"/>
        <v>88564.439237270271</v>
      </c>
      <c r="IX9" s="799">
        <f t="shared" si="92"/>
        <v>3608683.1538485698</v>
      </c>
      <c r="IY9" s="670">
        <f t="shared" si="93"/>
        <v>8.749508063901045</v>
      </c>
      <c r="IZ9" s="670">
        <f t="shared" si="94"/>
        <v>10.249508063901045</v>
      </c>
      <c r="JA9" s="799">
        <f t="shared" si="95"/>
        <v>3697247.5930858403</v>
      </c>
      <c r="JB9" s="381">
        <f t="shared" si="96"/>
        <v>0.21473093609895422</v>
      </c>
      <c r="JF9" s="773">
        <f t="shared" si="112"/>
        <v>6</v>
      </c>
      <c r="JG9" s="792">
        <f>FR9</f>
        <v>6</v>
      </c>
      <c r="JH9" s="17" t="s">
        <v>409</v>
      </c>
      <c r="JI9" s="427">
        <v>41244412</v>
      </c>
      <c r="JJ9" s="793">
        <f t="shared" si="97"/>
        <v>8.749508063901045</v>
      </c>
      <c r="JK9" s="793">
        <v>8.0139999999999993</v>
      </c>
      <c r="JL9" s="783">
        <f t="shared" si="114"/>
        <v>9.1777896668460812E-2</v>
      </c>
      <c r="JM9" s="793">
        <f t="shared" si="99"/>
        <v>0.73550806390104562</v>
      </c>
      <c r="JN9" s="785">
        <v>10</v>
      </c>
    </row>
    <row r="10" spans="1:277" x14ac:dyDescent="0.3">
      <c r="A10" s="768">
        <v>7</v>
      </c>
      <c r="B10" s="769" t="s">
        <v>54</v>
      </c>
      <c r="C10" s="339">
        <f>'Phase I Schedules'!MF20</f>
        <v>13723237.641003413</v>
      </c>
      <c r="D10" s="770">
        <f t="shared" si="0"/>
        <v>9.8352423935905903E-2</v>
      </c>
      <c r="E10" s="771">
        <v>0.61381468234240544</v>
      </c>
      <c r="I10" s="294">
        <f t="shared" si="100"/>
        <v>7</v>
      </c>
      <c r="J10" s="772">
        <f t="shared" si="1"/>
        <v>7</v>
      </c>
      <c r="K10" s="17" t="s">
        <v>410</v>
      </c>
      <c r="L10" s="427">
        <v>25011740</v>
      </c>
      <c r="M10" s="301">
        <f t="shared" si="2"/>
        <v>1.1187282217615441E-2</v>
      </c>
      <c r="N10" s="427">
        <v>350</v>
      </c>
      <c r="O10" s="427">
        <f t="shared" si="74"/>
        <v>71462.114285714284</v>
      </c>
      <c r="P10" s="301">
        <f t="shared" si="3"/>
        <v>3.8747484895594486E-2</v>
      </c>
      <c r="Q10" s="278" t="s">
        <v>385</v>
      </c>
      <c r="U10" s="773">
        <f t="shared" si="101"/>
        <v>7</v>
      </c>
      <c r="V10" s="774">
        <f t="shared" si="4"/>
        <v>7</v>
      </c>
      <c r="W10" s="17" t="s">
        <v>410</v>
      </c>
      <c r="X10" s="303">
        <f t="shared" si="75"/>
        <v>2845687.5705016046</v>
      </c>
      <c r="Y10" s="301">
        <f t="shared" si="5"/>
        <v>2.7471963145546945E-2</v>
      </c>
      <c r="AC10" s="773">
        <f t="shared" si="102"/>
        <v>7</v>
      </c>
      <c r="AD10" s="95">
        <v>7</v>
      </c>
      <c r="AE10" s="305" t="s">
        <v>410</v>
      </c>
      <c r="AF10" s="330">
        <v>8.41</v>
      </c>
      <c r="AP10" s="773">
        <f t="shared" si="77"/>
        <v>7</v>
      </c>
      <c r="AQ10" s="779">
        <f t="shared" si="6"/>
        <v>7</v>
      </c>
      <c r="AR10" s="17" t="s">
        <v>410</v>
      </c>
      <c r="AS10" s="17">
        <f t="shared" si="7"/>
        <v>8.41</v>
      </c>
      <c r="AT10" s="780">
        <v>25011740</v>
      </c>
      <c r="AU10" s="780">
        <f t="shared" si="103"/>
        <v>58430.203722222221</v>
      </c>
      <c r="AV10" s="781">
        <f t="shared" si="8"/>
        <v>57475.944419614345</v>
      </c>
      <c r="AW10" s="782">
        <f t="shared" si="9"/>
        <v>21.511220758941374</v>
      </c>
      <c r="AX10" s="303">
        <f t="shared" si="113"/>
        <v>1236377.7287389687</v>
      </c>
      <c r="AY10" s="301">
        <f t="shared" si="10"/>
        <v>2.7453851936188284E-2</v>
      </c>
      <c r="AZ10" s="299">
        <f t="shared" si="11"/>
        <v>4.9431900000000004</v>
      </c>
      <c r="BK10" s="294">
        <f t="shared" si="104"/>
        <v>7</v>
      </c>
      <c r="BL10" s="278">
        <f t="shared" si="12"/>
        <v>7</v>
      </c>
      <c r="BM10" s="17" t="s">
        <v>410</v>
      </c>
      <c r="BN10" s="301">
        <f t="shared" si="13"/>
        <v>2.7453851936188284E-2</v>
      </c>
      <c r="BO10" s="303">
        <f t="shared" si="14"/>
        <v>257219.88892527422</v>
      </c>
      <c r="BP10" s="301">
        <f t="shared" si="15"/>
        <v>1.1187282217615441E-2</v>
      </c>
      <c r="BQ10" s="303">
        <f t="shared" si="16"/>
        <v>104815.58274879611</v>
      </c>
      <c r="BR10" s="530">
        <f t="shared" si="17"/>
        <v>362035.47167407034</v>
      </c>
      <c r="BS10" s="299">
        <f t="shared" si="18"/>
        <v>1.447462</v>
      </c>
      <c r="BV10" s="20"/>
      <c r="BW10" s="235"/>
      <c r="BX10" s="235"/>
      <c r="BY10" s="235"/>
      <c r="BZ10" s="235"/>
      <c r="CA10" s="235"/>
      <c r="CB10" s="235"/>
      <c r="CC10" s="235"/>
      <c r="CD10" s="235"/>
      <c r="CH10" s="294">
        <f t="shared" si="105"/>
        <v>7</v>
      </c>
      <c r="CI10" s="95">
        <f t="shared" si="20"/>
        <v>7</v>
      </c>
      <c r="CJ10" s="17" t="s">
        <v>410</v>
      </c>
      <c r="CK10" s="301">
        <f t="shared" si="21"/>
        <v>1.1187282217615441E-2</v>
      </c>
      <c r="CL10" s="303">
        <f t="shared" si="22"/>
        <v>70219.583151718165</v>
      </c>
      <c r="CM10" s="301">
        <f t="shared" si="23"/>
        <v>3.8747484895594486E-2</v>
      </c>
      <c r="CN10" s="303">
        <f t="shared" si="24"/>
        <v>811006.12522963574</v>
      </c>
      <c r="CO10" s="303">
        <f t="shared" si="25"/>
        <v>881225.70838135388</v>
      </c>
      <c r="CP10" s="301">
        <f t="shared" si="26"/>
        <v>3.2389332912350764E-2</v>
      </c>
      <c r="CQ10" s="299">
        <f t="shared" si="27"/>
        <v>3.5232480000000002</v>
      </c>
      <c r="DC10" s="616"/>
      <c r="DD10" s="20"/>
      <c r="DG10" s="773">
        <f t="shared" si="106"/>
        <v>7</v>
      </c>
      <c r="DH10" s="786">
        <f t="shared" si="29"/>
        <v>7</v>
      </c>
      <c r="DI10" s="17" t="s">
        <v>410</v>
      </c>
      <c r="DJ10" s="301">
        <f t="shared" si="30"/>
        <v>3.2389332912350764E-2</v>
      </c>
      <c r="DK10" s="303">
        <f t="shared" si="31"/>
        <v>10288.277298979527</v>
      </c>
      <c r="DL10" s="301">
        <f t="shared" si="32"/>
        <v>3.8747484895594486E-2</v>
      </c>
      <c r="DM10" s="303">
        <f t="shared" si="33"/>
        <v>138788.54276006107</v>
      </c>
      <c r="DN10" s="301">
        <f t="shared" si="34"/>
        <v>1.1187282217615441E-2</v>
      </c>
      <c r="DO10" s="303">
        <f t="shared" si="35"/>
        <v>48846.42135172274</v>
      </c>
      <c r="DP10" s="303">
        <f t="shared" si="78"/>
        <v>197923.24141076332</v>
      </c>
      <c r="DQ10" s="301">
        <f t="shared" si="36"/>
        <v>2.3944948415014173E-2</v>
      </c>
      <c r="DR10" s="299">
        <f t="shared" si="37"/>
        <v>0.79132100000000005</v>
      </c>
      <c r="DV10" s="773">
        <f t="shared" si="107"/>
        <v>7</v>
      </c>
      <c r="DW10" s="786">
        <f t="shared" si="38"/>
        <v>7</v>
      </c>
      <c r="DX10" s="17" t="s">
        <v>410</v>
      </c>
      <c r="DY10" s="301">
        <f t="shared" si="39"/>
        <v>3.8747484895594486E-2</v>
      </c>
      <c r="DZ10" s="303">
        <f t="shared" si="40"/>
        <v>168125.42029644831</v>
      </c>
      <c r="EA10" s="299">
        <f t="shared" si="41"/>
        <v>0.67218599999999995</v>
      </c>
      <c r="EG10" s="21"/>
      <c r="EH10" s="21"/>
      <c r="EI10" s="21"/>
      <c r="EM10" s="773">
        <f t="shared" si="108"/>
        <v>7</v>
      </c>
      <c r="EN10" s="786">
        <f t="shared" si="42"/>
        <v>7</v>
      </c>
      <c r="EO10" s="17" t="s">
        <v>410</v>
      </c>
      <c r="EP10" s="301">
        <f t="shared" si="43"/>
        <v>2.7471963145546945E-2</v>
      </c>
      <c r="EQ10" s="303">
        <f t="shared" si="44"/>
        <v>229389.75989918906</v>
      </c>
      <c r="ER10" s="301">
        <f t="shared" si="45"/>
        <v>3.2389332912350764E-2</v>
      </c>
      <c r="ES10" s="303">
        <f t="shared" si="46"/>
        <v>35505.908305990975</v>
      </c>
      <c r="ET10" s="301">
        <f t="shared" si="47"/>
        <v>1.1187282217615441E-2</v>
      </c>
      <c r="EU10" s="303">
        <f t="shared" si="48"/>
        <v>47848.639044008945</v>
      </c>
      <c r="EV10" s="303">
        <f t="shared" si="49"/>
        <v>312744.30724918901</v>
      </c>
      <c r="EW10" s="301">
        <f t="shared" si="50"/>
        <v>2.27893967466355E-2</v>
      </c>
      <c r="EX10" s="299">
        <f t="shared" si="51"/>
        <v>1.2503899999999999</v>
      </c>
      <c r="FH10" s="773">
        <f t="shared" si="109"/>
        <v>7</v>
      </c>
      <c r="FI10" s="774">
        <f t="shared" si="52"/>
        <v>7</v>
      </c>
      <c r="FJ10" s="17" t="s">
        <v>410</v>
      </c>
      <c r="FK10" s="301">
        <f t="shared" si="53"/>
        <v>2.7471963145546945E-2</v>
      </c>
      <c r="FL10" s="303">
        <f t="shared" si="54"/>
        <v>610505.78460363182</v>
      </c>
      <c r="FM10" s="299">
        <f t="shared" si="55"/>
        <v>2.440877</v>
      </c>
      <c r="FQ10" s="294">
        <f t="shared" si="79"/>
        <v>7</v>
      </c>
      <c r="FR10" s="774">
        <v>7</v>
      </c>
      <c r="FS10" s="17" t="s">
        <v>410</v>
      </c>
      <c r="FT10" s="303">
        <f t="shared" si="80"/>
        <v>1236377.7287389687</v>
      </c>
      <c r="FU10" s="303">
        <f t="shared" si="56"/>
        <v>362035.47167407034</v>
      </c>
      <c r="FV10" s="303">
        <f t="shared" si="57"/>
        <v>881225.70838135388</v>
      </c>
      <c r="FW10" s="303">
        <f t="shared" si="58"/>
        <v>197923.24141076332</v>
      </c>
      <c r="FX10" s="303">
        <f t="shared" si="59"/>
        <v>168125.42029644831</v>
      </c>
      <c r="FY10" s="303">
        <f t="shared" si="60"/>
        <v>312744.30724918901</v>
      </c>
      <c r="FZ10" s="303">
        <f t="shared" si="61"/>
        <v>610505.78460363182</v>
      </c>
      <c r="GA10" s="303">
        <f t="shared" si="62"/>
        <v>3768937.6623544255</v>
      </c>
      <c r="GB10" s="381">
        <f t="shared" si="63"/>
        <v>15.068674</v>
      </c>
      <c r="GF10" s="773">
        <f t="shared" si="81"/>
        <v>7</v>
      </c>
      <c r="GG10" s="774">
        <f t="shared" si="64"/>
        <v>7</v>
      </c>
      <c r="GH10" s="17" t="s">
        <v>410</v>
      </c>
      <c r="GI10" s="299">
        <f t="shared" si="82"/>
        <v>4.9431900000000004</v>
      </c>
      <c r="GJ10" s="299">
        <f t="shared" si="65"/>
        <v>1.447462</v>
      </c>
      <c r="GK10" s="299">
        <f t="shared" si="66"/>
        <v>3.5232480000000002</v>
      </c>
      <c r="GL10" s="299">
        <f t="shared" si="67"/>
        <v>0.79132100000000005</v>
      </c>
      <c r="GM10" s="299">
        <f t="shared" si="68"/>
        <v>0.67218599999999995</v>
      </c>
      <c r="GN10" s="299">
        <f t="shared" si="69"/>
        <v>1.2503899999999999</v>
      </c>
      <c r="GO10" s="299">
        <f t="shared" si="70"/>
        <v>2.440877</v>
      </c>
      <c r="GP10" s="299">
        <f t="shared" si="71"/>
        <v>15.068674</v>
      </c>
      <c r="GQ10" s="427">
        <v>25011740</v>
      </c>
      <c r="GR10" s="755"/>
      <c r="GU10" s="294">
        <f t="shared" si="83"/>
        <v>7</v>
      </c>
      <c r="GV10" s="774">
        <f>FR10</f>
        <v>7</v>
      </c>
      <c r="GW10" s="17" t="s">
        <v>410</v>
      </c>
      <c r="GX10" s="278" t="s">
        <v>385</v>
      </c>
      <c r="GY10" s="303">
        <f>GA10</f>
        <v>3768937.6623544255</v>
      </c>
      <c r="GZ10" s="427">
        <f>VLOOKUP(GV10,$GG$4:$GQ$28,$GZ$35,FALSE)</f>
        <v>25011740</v>
      </c>
      <c r="HA10" s="299">
        <f t="shared" si="84"/>
        <v>15.068674</v>
      </c>
      <c r="HB10" s="303">
        <f t="shared" si="72"/>
        <v>3768937.5623276001</v>
      </c>
      <c r="HC10" s="788">
        <f t="shared" si="73"/>
        <v>-0.10002682544291019</v>
      </c>
      <c r="HD10" s="789"/>
      <c r="HG10" s="789"/>
      <c r="HH10" s="789"/>
      <c r="HI10" s="789"/>
      <c r="HJ10" s="789"/>
      <c r="HK10" s="789"/>
      <c r="HL10" s="789"/>
      <c r="HM10" s="789"/>
      <c r="HP10" s="773">
        <f t="shared" si="110"/>
        <v>7</v>
      </c>
      <c r="HQ10" s="792">
        <f>FR10</f>
        <v>7</v>
      </c>
      <c r="HR10" s="17" t="s">
        <v>410</v>
      </c>
      <c r="HS10" s="427">
        <v>25011740</v>
      </c>
      <c r="HT10" s="793">
        <f t="shared" si="85"/>
        <v>15.068674</v>
      </c>
      <c r="HU10" s="793">
        <v>15.685</v>
      </c>
      <c r="HV10" s="783">
        <f t="shared" si="86"/>
        <v>-3.9293975135479831E-2</v>
      </c>
      <c r="HW10" s="793">
        <f t="shared" si="87"/>
        <v>-0.61632600000000082</v>
      </c>
      <c r="HX10" s="785">
        <v>25</v>
      </c>
      <c r="IO10" s="773">
        <f t="shared" si="111"/>
        <v>7</v>
      </c>
      <c r="IP10" s="792">
        <v>7</v>
      </c>
      <c r="IQ10" s="17" t="s">
        <v>410</v>
      </c>
      <c r="IR10" s="799">
        <f t="shared" si="88"/>
        <v>3768937.6623544255</v>
      </c>
      <c r="IS10" s="800">
        <f t="shared" si="88"/>
        <v>25011740</v>
      </c>
      <c r="IT10" s="801">
        <f t="shared" si="88"/>
        <v>15.068674</v>
      </c>
      <c r="IU10" s="427">
        <f t="shared" si="89"/>
        <v>3580526.6217209459</v>
      </c>
      <c r="IV10" s="427">
        <f t="shared" si="90"/>
        <v>21431213.378279053</v>
      </c>
      <c r="IW10" s="799">
        <f t="shared" si="91"/>
        <v>53707.899325814185</v>
      </c>
      <c r="IX10" s="799">
        <f t="shared" si="92"/>
        <v>3715229.7630286114</v>
      </c>
      <c r="IY10" s="670">
        <f t="shared" si="93"/>
        <v>14.853943640181017</v>
      </c>
      <c r="IZ10" s="670">
        <f t="shared" si="94"/>
        <v>16.353943640181015</v>
      </c>
      <c r="JA10" s="799">
        <f t="shared" si="95"/>
        <v>3768937.662354426</v>
      </c>
      <c r="JB10" s="381">
        <f t="shared" si="96"/>
        <v>0.21473035981898292</v>
      </c>
      <c r="JF10" s="773">
        <f t="shared" si="112"/>
        <v>7</v>
      </c>
      <c r="JG10" s="792">
        <f>FR10</f>
        <v>7</v>
      </c>
      <c r="JH10" s="17" t="s">
        <v>410</v>
      </c>
      <c r="JI10" s="427">
        <v>25011740</v>
      </c>
      <c r="JJ10" s="793">
        <f t="shared" si="97"/>
        <v>14.853943640181017</v>
      </c>
      <c r="JK10" s="793">
        <v>15.465999999999999</v>
      </c>
      <c r="JL10" s="783">
        <f t="shared" si="114"/>
        <v>-3.957431526050581E-2</v>
      </c>
      <c r="JM10" s="793">
        <f t="shared" si="99"/>
        <v>-0.61205635981898254</v>
      </c>
      <c r="JN10" s="785">
        <v>25</v>
      </c>
    </row>
    <row r="11" spans="1:277" x14ac:dyDescent="0.3">
      <c r="A11" s="294">
        <v>8</v>
      </c>
      <c r="B11" s="802" t="s">
        <v>235</v>
      </c>
      <c r="C11" s="303">
        <f>'Phase I Schedules'!MF23</f>
        <v>22925355.453062057</v>
      </c>
      <c r="D11" s="783">
        <f t="shared" si="0"/>
        <v>0.16430264762477934</v>
      </c>
      <c r="E11" s="785">
        <v>1.0254081539011455</v>
      </c>
      <c r="I11" s="294">
        <f t="shared" si="100"/>
        <v>8</v>
      </c>
      <c r="J11" s="772">
        <f t="shared" si="1"/>
        <v>8</v>
      </c>
      <c r="K11" s="17" t="s">
        <v>411</v>
      </c>
      <c r="L11" s="427">
        <v>118259717</v>
      </c>
      <c r="M11" s="301">
        <f t="shared" si="2"/>
        <v>5.2895353504167825E-2</v>
      </c>
      <c r="N11" s="427">
        <v>840</v>
      </c>
      <c r="O11" s="427">
        <f t="shared" si="74"/>
        <v>140785.37738095238</v>
      </c>
      <c r="P11" s="301">
        <f t="shared" si="3"/>
        <v>7.6335262930774014E-2</v>
      </c>
      <c r="Q11" s="278" t="s">
        <v>385</v>
      </c>
      <c r="U11" s="773">
        <f t="shared" si="101"/>
        <v>8</v>
      </c>
      <c r="V11" s="774">
        <f t="shared" si="4"/>
        <v>8</v>
      </c>
      <c r="W11" s="17" t="s">
        <v>411</v>
      </c>
      <c r="X11" s="303">
        <f t="shared" si="75"/>
        <v>8011041.1541782925</v>
      </c>
      <c r="Y11" s="301">
        <f t="shared" si="5"/>
        <v>7.7337733638219802E-2</v>
      </c>
      <c r="AC11" s="773">
        <f t="shared" si="102"/>
        <v>8</v>
      </c>
      <c r="AD11" s="95">
        <v>8</v>
      </c>
      <c r="AE11" s="305" t="s">
        <v>411</v>
      </c>
      <c r="AF11" s="330">
        <v>5.63</v>
      </c>
      <c r="AP11" s="773">
        <f t="shared" si="77"/>
        <v>8</v>
      </c>
      <c r="AQ11" s="779">
        <f t="shared" si="6"/>
        <v>8</v>
      </c>
      <c r="AR11" s="17" t="s">
        <v>411</v>
      </c>
      <c r="AS11" s="17">
        <f t="shared" si="7"/>
        <v>5.63</v>
      </c>
      <c r="AT11" s="780">
        <v>118259717</v>
      </c>
      <c r="AU11" s="780">
        <f t="shared" si="103"/>
        <v>184945.05741944446</v>
      </c>
      <c r="AV11" s="781">
        <f t="shared" si="8"/>
        <v>181924.60686012646</v>
      </c>
      <c r="AW11" s="782">
        <f t="shared" si="9"/>
        <v>21.511220758941374</v>
      </c>
      <c r="AX11" s="303">
        <f t="shared" si="113"/>
        <v>3913420.3796518003</v>
      </c>
      <c r="AY11" s="301">
        <f t="shared" si="10"/>
        <v>8.6897766895722942E-2</v>
      </c>
      <c r="AZ11" s="299">
        <f t="shared" si="11"/>
        <v>3.3091740000000001</v>
      </c>
      <c r="BK11" s="294">
        <f t="shared" si="104"/>
        <v>8</v>
      </c>
      <c r="BL11" s="278">
        <f t="shared" si="12"/>
        <v>8</v>
      </c>
      <c r="BM11" s="17" t="s">
        <v>411</v>
      </c>
      <c r="BN11" s="301">
        <f t="shared" si="13"/>
        <v>8.6897766895722942E-2</v>
      </c>
      <c r="BO11" s="303">
        <f t="shared" si="14"/>
        <v>814160.2133181598</v>
      </c>
      <c r="BP11" s="301">
        <f t="shared" si="15"/>
        <v>5.2895353504167825E-2</v>
      </c>
      <c r="BQ11" s="303">
        <f t="shared" si="16"/>
        <v>495585.71906883369</v>
      </c>
      <c r="BR11" s="530">
        <f t="shared" si="17"/>
        <v>1309745.9323869934</v>
      </c>
      <c r="BS11" s="299">
        <f t="shared" si="18"/>
        <v>1.1075170000000001</v>
      </c>
      <c r="BV11" s="20"/>
      <c r="BW11" s="235"/>
      <c r="BX11" s="235"/>
      <c r="BY11" s="235"/>
      <c r="BZ11" s="235"/>
      <c r="CA11" s="235"/>
      <c r="CB11" s="235"/>
      <c r="CC11" s="235"/>
      <c r="CD11" s="235"/>
      <c r="CH11" s="294">
        <f t="shared" si="105"/>
        <v>8</v>
      </c>
      <c r="CI11" s="95">
        <f t="shared" si="20"/>
        <v>8</v>
      </c>
      <c r="CJ11" s="17" t="s">
        <v>411</v>
      </c>
      <c r="CK11" s="301">
        <f t="shared" si="21"/>
        <v>5.2895353504167825E-2</v>
      </c>
      <c r="CL11" s="303">
        <f t="shared" si="22"/>
        <v>332010.00935481332</v>
      </c>
      <c r="CM11" s="301">
        <f t="shared" si="23"/>
        <v>7.6335262930774014E-2</v>
      </c>
      <c r="CN11" s="303">
        <f t="shared" si="24"/>
        <v>1597738.9493714299</v>
      </c>
      <c r="CO11" s="303">
        <f t="shared" si="25"/>
        <v>1929748.9587262431</v>
      </c>
      <c r="CP11" s="301">
        <f t="shared" si="26"/>
        <v>7.0927664577845009E-2</v>
      </c>
      <c r="CQ11" s="299">
        <f t="shared" si="27"/>
        <v>1.6317889999999999</v>
      </c>
      <c r="DC11" s="616"/>
      <c r="DD11" s="20"/>
      <c r="DG11" s="773">
        <f t="shared" si="106"/>
        <v>8</v>
      </c>
      <c r="DH11" s="786">
        <f t="shared" si="29"/>
        <v>8</v>
      </c>
      <c r="DI11" s="17" t="s">
        <v>411</v>
      </c>
      <c r="DJ11" s="301">
        <f t="shared" si="30"/>
        <v>7.0927664577845009E-2</v>
      </c>
      <c r="DK11" s="303">
        <f t="shared" si="31"/>
        <v>22529.747164617194</v>
      </c>
      <c r="DL11" s="301">
        <f t="shared" si="32"/>
        <v>7.6335262930774014E-2</v>
      </c>
      <c r="DM11" s="303">
        <f t="shared" si="33"/>
        <v>273423.16364314017</v>
      </c>
      <c r="DN11" s="301">
        <f t="shared" si="34"/>
        <v>5.2895353504167825E-2</v>
      </c>
      <c r="DO11" s="303">
        <f t="shared" si="35"/>
        <v>230954.10257413075</v>
      </c>
      <c r="DP11" s="303">
        <f t="shared" si="78"/>
        <v>526907.01338188816</v>
      </c>
      <c r="DQ11" s="301">
        <f t="shared" si="36"/>
        <v>6.3745728722955211E-2</v>
      </c>
      <c r="DR11" s="299">
        <f t="shared" si="37"/>
        <v>0.44555099999999997</v>
      </c>
      <c r="DV11" s="773">
        <f t="shared" si="107"/>
        <v>8</v>
      </c>
      <c r="DW11" s="786">
        <f t="shared" si="38"/>
        <v>8</v>
      </c>
      <c r="DX11" s="17" t="s">
        <v>411</v>
      </c>
      <c r="DY11" s="301">
        <f t="shared" si="39"/>
        <v>7.6335262930774014E-2</v>
      </c>
      <c r="DZ11" s="303">
        <f t="shared" si="40"/>
        <v>331218.87003136711</v>
      </c>
      <c r="EA11" s="299">
        <f t="shared" si="41"/>
        <v>0.28007799999999999</v>
      </c>
      <c r="EG11" s="21"/>
      <c r="EH11" s="21"/>
      <c r="EI11" s="21"/>
      <c r="EM11" s="773">
        <f t="shared" si="108"/>
        <v>8</v>
      </c>
      <c r="EN11" s="786">
        <f t="shared" si="42"/>
        <v>8</v>
      </c>
      <c r="EO11" s="17" t="s">
        <v>411</v>
      </c>
      <c r="EP11" s="301">
        <f t="shared" si="43"/>
        <v>7.7337733638219802E-2</v>
      </c>
      <c r="EQ11" s="303">
        <f t="shared" si="44"/>
        <v>645766.8880971222</v>
      </c>
      <c r="ER11" s="301">
        <f t="shared" si="45"/>
        <v>7.0927664577845009E-2</v>
      </c>
      <c r="ES11" s="303">
        <f t="shared" si="46"/>
        <v>77752.486032175933</v>
      </c>
      <c r="ET11" s="301">
        <f t="shared" si="47"/>
        <v>5.2895353504167825E-2</v>
      </c>
      <c r="EU11" s="303">
        <f t="shared" si="48"/>
        <v>226236.41986441761</v>
      </c>
      <c r="EV11" s="303">
        <f t="shared" si="49"/>
        <v>949755.79399371578</v>
      </c>
      <c r="EW11" s="301">
        <f t="shared" si="50"/>
        <v>6.9207851590061931E-2</v>
      </c>
      <c r="EX11" s="299">
        <f t="shared" si="51"/>
        <v>0.80310999999999999</v>
      </c>
      <c r="FH11" s="773">
        <f t="shared" si="109"/>
        <v>8</v>
      </c>
      <c r="FI11" s="774">
        <f t="shared" si="52"/>
        <v>8</v>
      </c>
      <c r="FJ11" s="17" t="s">
        <v>411</v>
      </c>
      <c r="FK11" s="301">
        <f t="shared" si="53"/>
        <v>7.7337733638219802E-2</v>
      </c>
      <c r="FL11" s="303">
        <f t="shared" si="54"/>
        <v>1718666.1726401371</v>
      </c>
      <c r="FM11" s="299">
        <f t="shared" si="55"/>
        <v>1.453298</v>
      </c>
      <c r="FQ11" s="294">
        <f t="shared" si="79"/>
        <v>8</v>
      </c>
      <c r="FR11" s="774">
        <v>8</v>
      </c>
      <c r="FS11" s="17" t="s">
        <v>411</v>
      </c>
      <c r="FT11" s="303">
        <f t="shared" si="80"/>
        <v>3913420.3796518003</v>
      </c>
      <c r="FU11" s="303">
        <f t="shared" si="56"/>
        <v>1309745.9323869934</v>
      </c>
      <c r="FV11" s="303">
        <f t="shared" si="57"/>
        <v>1929748.9587262431</v>
      </c>
      <c r="FW11" s="303">
        <f t="shared" si="58"/>
        <v>526907.01338188816</v>
      </c>
      <c r="FX11" s="303">
        <f t="shared" si="59"/>
        <v>331218.87003136711</v>
      </c>
      <c r="FY11" s="303">
        <f t="shared" si="60"/>
        <v>949755.79399371578</v>
      </c>
      <c r="FZ11" s="303">
        <f t="shared" si="61"/>
        <v>1718666.1726401371</v>
      </c>
      <c r="GA11" s="303">
        <f t="shared" si="62"/>
        <v>10679463.120812146</v>
      </c>
      <c r="GB11" s="381">
        <f t="shared" si="63"/>
        <v>9.0305160000000004</v>
      </c>
      <c r="GF11" s="773">
        <f t="shared" si="81"/>
        <v>8</v>
      </c>
      <c r="GG11" s="774">
        <f t="shared" si="64"/>
        <v>8</v>
      </c>
      <c r="GH11" s="17" t="s">
        <v>411</v>
      </c>
      <c r="GI11" s="299">
        <f t="shared" si="82"/>
        <v>3.3091740000000001</v>
      </c>
      <c r="GJ11" s="299">
        <f t="shared" si="65"/>
        <v>1.1075170000000001</v>
      </c>
      <c r="GK11" s="299">
        <f t="shared" si="66"/>
        <v>1.6317889999999999</v>
      </c>
      <c r="GL11" s="299">
        <f t="shared" si="67"/>
        <v>0.44555099999999997</v>
      </c>
      <c r="GM11" s="299">
        <f t="shared" si="68"/>
        <v>0.28007799999999999</v>
      </c>
      <c r="GN11" s="299">
        <f t="shared" si="69"/>
        <v>0.80310999999999999</v>
      </c>
      <c r="GO11" s="299">
        <f t="shared" si="70"/>
        <v>1.453298</v>
      </c>
      <c r="GP11" s="299">
        <f t="shared" si="71"/>
        <v>9.0305160000000004</v>
      </c>
      <c r="GQ11" s="427">
        <v>118259717</v>
      </c>
      <c r="GR11" s="755"/>
      <c r="GU11" s="294">
        <f t="shared" si="83"/>
        <v>8</v>
      </c>
      <c r="GV11" s="774">
        <f>FR11</f>
        <v>8</v>
      </c>
      <c r="GW11" s="17" t="s">
        <v>411</v>
      </c>
      <c r="GX11" s="278" t="s">
        <v>385</v>
      </c>
      <c r="GY11" s="303">
        <f>GA11</f>
        <v>10679463.120812146</v>
      </c>
      <c r="GZ11" s="427">
        <f>VLOOKUP(GV11,$GG$4:$GQ$28,$GZ$35,FALSE)</f>
        <v>118259717</v>
      </c>
      <c r="HA11" s="299">
        <f t="shared" si="84"/>
        <v>9.0305160000000004</v>
      </c>
      <c r="HB11" s="303">
        <f t="shared" si="72"/>
        <v>10679462.66523972</v>
      </c>
      <c r="HC11" s="788">
        <f t="shared" si="73"/>
        <v>-0.45557242631912231</v>
      </c>
      <c r="HD11" s="789"/>
      <c r="HG11" s="789"/>
      <c r="HH11" s="789"/>
      <c r="HI11" s="789"/>
      <c r="HJ11" s="789"/>
      <c r="HK11" s="789"/>
      <c r="HL11" s="789"/>
      <c r="HM11" s="789"/>
      <c r="HP11" s="773">
        <f t="shared" si="110"/>
        <v>8</v>
      </c>
      <c r="HQ11" s="792">
        <f>FR11</f>
        <v>8</v>
      </c>
      <c r="HR11" s="17" t="s">
        <v>411</v>
      </c>
      <c r="HS11" s="427">
        <v>118259717</v>
      </c>
      <c r="HT11" s="793">
        <f t="shared" si="85"/>
        <v>9.0305160000000004</v>
      </c>
      <c r="HU11" s="793">
        <v>9.282</v>
      </c>
      <c r="HV11" s="783">
        <f t="shared" si="86"/>
        <v>-2.709372979961211E-2</v>
      </c>
      <c r="HW11" s="793">
        <f t="shared" si="87"/>
        <v>-0.2514839999999996</v>
      </c>
      <c r="HX11" s="785">
        <v>10</v>
      </c>
      <c r="IO11" s="773">
        <f t="shared" si="111"/>
        <v>8</v>
      </c>
      <c r="IP11" s="792">
        <v>8</v>
      </c>
      <c r="IQ11" s="17" t="s">
        <v>411</v>
      </c>
      <c r="IR11" s="799">
        <f t="shared" si="88"/>
        <v>10679463.120812146</v>
      </c>
      <c r="IS11" s="800">
        <f t="shared" si="88"/>
        <v>118259717</v>
      </c>
      <c r="IT11" s="801">
        <f t="shared" si="88"/>
        <v>9.0305160000000004</v>
      </c>
      <c r="IU11" s="427">
        <f t="shared" si="89"/>
        <v>16929332.585245375</v>
      </c>
      <c r="IV11" s="427">
        <f t="shared" si="90"/>
        <v>101330384.41475463</v>
      </c>
      <c r="IW11" s="799">
        <f t="shared" si="91"/>
        <v>253939.98877868062</v>
      </c>
      <c r="IX11" s="799">
        <f t="shared" si="92"/>
        <v>10425523.132033465</v>
      </c>
      <c r="IY11" s="670">
        <f t="shared" si="93"/>
        <v>8.8157856254919551</v>
      </c>
      <c r="IZ11" s="670">
        <f t="shared" si="94"/>
        <v>10.315785625491955</v>
      </c>
      <c r="JA11" s="799">
        <f t="shared" si="95"/>
        <v>10679463.120812146</v>
      </c>
      <c r="JB11" s="381">
        <f t="shared" si="96"/>
        <v>0.21473037450804533</v>
      </c>
      <c r="JF11" s="773">
        <f t="shared" si="112"/>
        <v>8</v>
      </c>
      <c r="JG11" s="792">
        <f>FR11</f>
        <v>8</v>
      </c>
      <c r="JH11" s="17" t="s">
        <v>411</v>
      </c>
      <c r="JI11" s="427">
        <v>118259717</v>
      </c>
      <c r="JJ11" s="793">
        <f t="shared" si="97"/>
        <v>8.8157856254919551</v>
      </c>
      <c r="JK11" s="793">
        <v>9.0630000000000006</v>
      </c>
      <c r="JL11" s="783">
        <f t="shared" si="114"/>
        <v>-2.7277322576193974E-2</v>
      </c>
      <c r="JM11" s="793">
        <f t="shared" si="99"/>
        <v>-0.24721437450804551</v>
      </c>
      <c r="JN11" s="785">
        <v>10</v>
      </c>
    </row>
    <row r="12" spans="1:277" x14ac:dyDescent="0.3">
      <c r="A12" s="768">
        <v>9</v>
      </c>
      <c r="B12" s="769" t="s">
        <v>388</v>
      </c>
      <c r="C12" s="339">
        <f>-'Phase I Schedules'!MF10</f>
        <v>-702488.40241986408</v>
      </c>
      <c r="D12" s="770">
        <f t="shared" si="0"/>
        <v>-5.0346309648110071E-3</v>
      </c>
      <c r="E12" s="771">
        <v>-3.1420988753572625E-2</v>
      </c>
      <c r="I12" s="294">
        <f t="shared" si="100"/>
        <v>9</v>
      </c>
      <c r="J12" s="772">
        <f t="shared" si="1"/>
        <v>9</v>
      </c>
      <c r="K12" s="17" t="s">
        <v>412</v>
      </c>
      <c r="L12" s="427">
        <v>4670908</v>
      </c>
      <c r="M12" s="301">
        <f t="shared" si="2"/>
        <v>2.0892095475371847E-3</v>
      </c>
      <c r="N12" s="427">
        <v>339</v>
      </c>
      <c r="O12" s="427">
        <f t="shared" si="74"/>
        <v>13778.489675516224</v>
      </c>
      <c r="P12" s="301">
        <f t="shared" si="3"/>
        <v>7.4708371830652055E-3</v>
      </c>
      <c r="Q12" s="278" t="s">
        <v>385</v>
      </c>
      <c r="U12" s="773">
        <f t="shared" si="101"/>
        <v>9</v>
      </c>
      <c r="V12" s="774">
        <f t="shared" si="4"/>
        <v>9</v>
      </c>
      <c r="W12" s="17" t="s">
        <v>412</v>
      </c>
      <c r="X12" s="303">
        <f t="shared" si="75"/>
        <v>711718.80979972042</v>
      </c>
      <c r="Y12" s="301">
        <f t="shared" si="5"/>
        <v>6.8708571929995826E-3</v>
      </c>
      <c r="AC12" s="773">
        <f t="shared" si="102"/>
        <v>9</v>
      </c>
      <c r="AD12" s="95">
        <v>9</v>
      </c>
      <c r="AE12" s="305" t="s">
        <v>412</v>
      </c>
      <c r="AF12" s="330">
        <v>13.64</v>
      </c>
      <c r="AP12" s="773">
        <f t="shared" si="77"/>
        <v>9</v>
      </c>
      <c r="AQ12" s="779">
        <f t="shared" si="6"/>
        <v>9</v>
      </c>
      <c r="AR12" s="17" t="s">
        <v>412</v>
      </c>
      <c r="AS12" s="17">
        <f t="shared" si="7"/>
        <v>13.64</v>
      </c>
      <c r="AT12" s="780">
        <v>4670908</v>
      </c>
      <c r="AU12" s="780">
        <f t="shared" si="103"/>
        <v>17697.551422222223</v>
      </c>
      <c r="AV12" s="781">
        <f t="shared" si="8"/>
        <v>17408.521913471533</v>
      </c>
      <c r="AW12" s="782">
        <f t="shared" si="9"/>
        <v>21.511220758941374</v>
      </c>
      <c r="AX12" s="303">
        <f t="shared" si="113"/>
        <v>374478.55796755466</v>
      </c>
      <c r="AY12" s="301">
        <f t="shared" si="10"/>
        <v>8.3153219641091628E-3</v>
      </c>
      <c r="AZ12" s="299">
        <f t="shared" si="11"/>
        <v>8.0172539999999994</v>
      </c>
      <c r="BK12" s="294">
        <f t="shared" si="104"/>
        <v>9</v>
      </c>
      <c r="BL12" s="278">
        <f t="shared" si="12"/>
        <v>9</v>
      </c>
      <c r="BM12" s="17" t="s">
        <v>412</v>
      </c>
      <c r="BN12" s="301">
        <f t="shared" si="13"/>
        <v>8.3153219641091628E-3</v>
      </c>
      <c r="BO12" s="303">
        <f t="shared" si="14"/>
        <v>77907.690219845113</v>
      </c>
      <c r="BP12" s="301">
        <f t="shared" si="15"/>
        <v>2.0892095475371847E-3</v>
      </c>
      <c r="BQ12" s="303">
        <f t="shared" si="16"/>
        <v>19574.165731213172</v>
      </c>
      <c r="BR12" s="530">
        <f t="shared" si="17"/>
        <v>97481.855951058285</v>
      </c>
      <c r="BS12" s="299">
        <f t="shared" si="18"/>
        <v>2.0870000000000002</v>
      </c>
      <c r="BV12" s="20"/>
      <c r="BW12" s="235"/>
      <c r="BX12" s="235"/>
      <c r="BY12" s="235"/>
      <c r="BZ12" s="235"/>
      <c r="CA12" s="235"/>
      <c r="CB12" s="235"/>
      <c r="CC12" s="235"/>
      <c r="CD12" s="235"/>
      <c r="CH12" s="294">
        <f t="shared" si="105"/>
        <v>9</v>
      </c>
      <c r="CI12" s="95">
        <f t="shared" si="20"/>
        <v>9</v>
      </c>
      <c r="CJ12" s="17" t="s">
        <v>412</v>
      </c>
      <c r="CK12" s="301">
        <f t="shared" si="21"/>
        <v>2.0892095475371847E-3</v>
      </c>
      <c r="CL12" s="303">
        <f t="shared" si="22"/>
        <v>13113.41045045349</v>
      </c>
      <c r="CM12" s="301">
        <f t="shared" si="23"/>
        <v>7.4708371830652055E-3</v>
      </c>
      <c r="CN12" s="303">
        <f t="shared" si="24"/>
        <v>156368.72257347687</v>
      </c>
      <c r="CO12" s="303">
        <f t="shared" si="25"/>
        <v>169482.13302393036</v>
      </c>
      <c r="CP12" s="301">
        <f t="shared" si="26"/>
        <v>6.2292931050439053E-3</v>
      </c>
      <c r="CQ12" s="299">
        <f t="shared" si="27"/>
        <v>3.6284619999999999</v>
      </c>
      <c r="DD12" s="20"/>
      <c r="DG12" s="773">
        <f t="shared" si="106"/>
        <v>9</v>
      </c>
      <c r="DH12" s="786">
        <f t="shared" si="29"/>
        <v>9</v>
      </c>
      <c r="DI12" s="17" t="s">
        <v>412</v>
      </c>
      <c r="DJ12" s="301">
        <f t="shared" si="30"/>
        <v>6.2292931050439053E-3</v>
      </c>
      <c r="DK12" s="303">
        <f t="shared" si="31"/>
        <v>1978.6975858608828</v>
      </c>
      <c r="DL12" s="301">
        <f t="shared" si="32"/>
        <v>7.4708371830652055E-3</v>
      </c>
      <c r="DM12" s="303">
        <f t="shared" si="33"/>
        <v>26759.584747994551</v>
      </c>
      <c r="DN12" s="301">
        <f t="shared" si="34"/>
        <v>2.0892095475371847E-3</v>
      </c>
      <c r="DO12" s="303">
        <f t="shared" si="35"/>
        <v>9122.0019184244102</v>
      </c>
      <c r="DP12" s="303">
        <f t="shared" si="78"/>
        <v>37860.284252279846</v>
      </c>
      <c r="DQ12" s="301">
        <f t="shared" si="36"/>
        <v>4.5803744266554548E-3</v>
      </c>
      <c r="DR12" s="299">
        <f t="shared" si="37"/>
        <v>0.81055500000000003</v>
      </c>
      <c r="DV12" s="773">
        <f t="shared" si="107"/>
        <v>9</v>
      </c>
      <c r="DW12" s="786">
        <f t="shared" si="38"/>
        <v>9</v>
      </c>
      <c r="DX12" s="17" t="s">
        <v>412</v>
      </c>
      <c r="DY12" s="301">
        <f t="shared" si="39"/>
        <v>7.4708371830652055E-3</v>
      </c>
      <c r="DZ12" s="303">
        <f t="shared" si="40"/>
        <v>32415.978604897286</v>
      </c>
      <c r="EA12" s="299">
        <f t="shared" si="41"/>
        <v>0.69399699999999998</v>
      </c>
      <c r="EM12" s="773">
        <f t="shared" si="108"/>
        <v>9</v>
      </c>
      <c r="EN12" s="786">
        <f t="shared" si="42"/>
        <v>9</v>
      </c>
      <c r="EO12" s="17" t="s">
        <v>412</v>
      </c>
      <c r="EP12" s="301">
        <f t="shared" si="43"/>
        <v>6.8708571929995826E-3</v>
      </c>
      <c r="EQ12" s="303">
        <f t="shared" si="44"/>
        <v>57371.374351864193</v>
      </c>
      <c r="ER12" s="301">
        <f t="shared" si="45"/>
        <v>6.2292931050439053E-3</v>
      </c>
      <c r="ES12" s="303">
        <f t="shared" si="46"/>
        <v>6828.6898775396257</v>
      </c>
      <c r="ET12" s="301">
        <f t="shared" si="47"/>
        <v>2.0892095475371847E-3</v>
      </c>
      <c r="EU12" s="303">
        <f t="shared" si="48"/>
        <v>8935.6674465580454</v>
      </c>
      <c r="EV12" s="303">
        <f t="shared" si="49"/>
        <v>73135.73167596187</v>
      </c>
      <c r="EW12" s="301">
        <f t="shared" si="50"/>
        <v>5.3293350730472628E-3</v>
      </c>
      <c r="EX12" s="299">
        <f t="shared" si="51"/>
        <v>1.565771</v>
      </c>
      <c r="FH12" s="773">
        <f t="shared" si="109"/>
        <v>9</v>
      </c>
      <c r="FI12" s="774">
        <f t="shared" si="52"/>
        <v>9</v>
      </c>
      <c r="FJ12" s="17" t="s">
        <v>412</v>
      </c>
      <c r="FK12" s="301">
        <f t="shared" si="53"/>
        <v>6.8708571929995826E-3</v>
      </c>
      <c r="FL12" s="303">
        <f t="shared" si="54"/>
        <v>152690.14592397833</v>
      </c>
      <c r="FM12" s="299">
        <f t="shared" si="55"/>
        <v>3.268961</v>
      </c>
      <c r="FQ12" s="294">
        <f t="shared" si="79"/>
        <v>9</v>
      </c>
      <c r="FR12" s="774">
        <v>9</v>
      </c>
      <c r="FS12" s="17" t="s">
        <v>412</v>
      </c>
      <c r="FT12" s="303">
        <f t="shared" si="80"/>
        <v>374478.55796755466</v>
      </c>
      <c r="FU12" s="303">
        <f t="shared" si="56"/>
        <v>97481.855951058285</v>
      </c>
      <c r="FV12" s="303">
        <f t="shared" si="57"/>
        <v>169482.13302393036</v>
      </c>
      <c r="FW12" s="303">
        <f t="shared" si="58"/>
        <v>37860.284252279846</v>
      </c>
      <c r="FX12" s="303">
        <f t="shared" si="59"/>
        <v>32415.978604897286</v>
      </c>
      <c r="FY12" s="303">
        <f t="shared" si="60"/>
        <v>73135.73167596187</v>
      </c>
      <c r="FZ12" s="303">
        <f t="shared" si="61"/>
        <v>152690.14592397833</v>
      </c>
      <c r="GA12" s="303">
        <f t="shared" si="62"/>
        <v>937544.68739966059</v>
      </c>
      <c r="GB12" s="381">
        <f t="shared" si="63"/>
        <v>20.072001</v>
      </c>
      <c r="GF12" s="773">
        <f t="shared" si="81"/>
        <v>9</v>
      </c>
      <c r="GG12" s="774">
        <f t="shared" si="64"/>
        <v>9</v>
      </c>
      <c r="GH12" s="17" t="s">
        <v>412</v>
      </c>
      <c r="GI12" s="299">
        <f t="shared" si="82"/>
        <v>8.0172539999999994</v>
      </c>
      <c r="GJ12" s="299">
        <f t="shared" si="65"/>
        <v>2.0870000000000002</v>
      </c>
      <c r="GK12" s="299">
        <f t="shared" si="66"/>
        <v>3.6284619999999999</v>
      </c>
      <c r="GL12" s="299">
        <f t="shared" si="67"/>
        <v>0.81055500000000003</v>
      </c>
      <c r="GM12" s="299">
        <f t="shared" si="68"/>
        <v>0.69399699999999998</v>
      </c>
      <c r="GN12" s="299">
        <f t="shared" si="69"/>
        <v>1.565771</v>
      </c>
      <c r="GO12" s="299">
        <f t="shared" si="70"/>
        <v>3.268961</v>
      </c>
      <c r="GP12" s="299">
        <f t="shared" si="71"/>
        <v>20.072001</v>
      </c>
      <c r="GQ12" s="427">
        <v>4670908</v>
      </c>
      <c r="GR12" s="755"/>
      <c r="GU12" s="294">
        <f t="shared" si="83"/>
        <v>9</v>
      </c>
      <c r="GV12" s="774">
        <f>FR12</f>
        <v>9</v>
      </c>
      <c r="GW12" s="17" t="s">
        <v>412</v>
      </c>
      <c r="GX12" s="278" t="s">
        <v>385</v>
      </c>
      <c r="GY12" s="303">
        <f>GA12</f>
        <v>937544.68739966059</v>
      </c>
      <c r="GZ12" s="427">
        <f>VLOOKUP(GV12,$GG$4:$GQ$28,$GZ$35,FALSE)</f>
        <v>4670908</v>
      </c>
      <c r="HA12" s="299">
        <f t="shared" si="84"/>
        <v>20.072001</v>
      </c>
      <c r="HB12" s="303">
        <f t="shared" si="72"/>
        <v>937544.70046908001</v>
      </c>
      <c r="HC12" s="788">
        <f t="shared" si="73"/>
        <v>1.3069419423118234E-2</v>
      </c>
      <c r="HD12" s="789"/>
      <c r="HG12" s="789"/>
      <c r="HH12" s="789"/>
      <c r="HI12" s="789"/>
      <c r="HJ12" s="789"/>
      <c r="HK12" s="789"/>
      <c r="HL12" s="789"/>
      <c r="HM12" s="789"/>
      <c r="HP12" s="773">
        <f t="shared" si="110"/>
        <v>9</v>
      </c>
      <c r="HQ12" s="792">
        <f>FR12</f>
        <v>9</v>
      </c>
      <c r="HR12" s="17" t="s">
        <v>412</v>
      </c>
      <c r="HS12" s="427">
        <v>4670908</v>
      </c>
      <c r="HT12" s="793">
        <f t="shared" si="85"/>
        <v>20.072001</v>
      </c>
      <c r="HU12" s="793">
        <v>18.353000000000002</v>
      </c>
      <c r="HV12" s="783">
        <f t="shared" si="86"/>
        <v>9.3663215823026169E-2</v>
      </c>
      <c r="HW12" s="793">
        <f t="shared" si="87"/>
        <v>1.7190009999999987</v>
      </c>
      <c r="HX12" s="785">
        <v>25</v>
      </c>
      <c r="IO12" s="773">
        <f t="shared" si="111"/>
        <v>9</v>
      </c>
      <c r="IP12" s="792">
        <v>9</v>
      </c>
      <c r="IQ12" s="17" t="s">
        <v>412</v>
      </c>
      <c r="IR12" s="799">
        <f t="shared" si="88"/>
        <v>937544.68739966059</v>
      </c>
      <c r="IS12" s="800">
        <f t="shared" si="88"/>
        <v>4670908</v>
      </c>
      <c r="IT12" s="801">
        <f t="shared" si="88"/>
        <v>20.072001</v>
      </c>
      <c r="IU12" s="427">
        <f t="shared" si="89"/>
        <v>668658.41567237396</v>
      </c>
      <c r="IV12" s="427">
        <f t="shared" si="90"/>
        <v>4002249.584327626</v>
      </c>
      <c r="IW12" s="799">
        <f t="shared" si="91"/>
        <v>10029.876235085609</v>
      </c>
      <c r="IX12" s="799">
        <f t="shared" si="92"/>
        <v>927514.81116457493</v>
      </c>
      <c r="IY12" s="670">
        <f t="shared" si="93"/>
        <v>19.857269960456829</v>
      </c>
      <c r="IZ12" s="670">
        <f t="shared" si="94"/>
        <v>21.357269960456829</v>
      </c>
      <c r="JA12" s="799">
        <f t="shared" si="95"/>
        <v>937544.68739966047</v>
      </c>
      <c r="JB12" s="381">
        <f t="shared" si="96"/>
        <v>0.21473103954317097</v>
      </c>
      <c r="JF12" s="773">
        <f t="shared" si="112"/>
        <v>9</v>
      </c>
      <c r="JG12" s="792">
        <f>FR12</f>
        <v>9</v>
      </c>
      <c r="JH12" s="17" t="s">
        <v>412</v>
      </c>
      <c r="JI12" s="427">
        <v>4670908</v>
      </c>
      <c r="JJ12" s="793">
        <f t="shared" si="97"/>
        <v>19.857269960456829</v>
      </c>
      <c r="JK12" s="793">
        <v>18.134</v>
      </c>
      <c r="JL12" s="783">
        <f t="shared" si="114"/>
        <v>9.5029776136364319E-2</v>
      </c>
      <c r="JM12" s="793">
        <f t="shared" si="99"/>
        <v>1.7232699604568289</v>
      </c>
      <c r="JN12" s="785">
        <v>25</v>
      </c>
    </row>
    <row r="13" spans="1:277" ht="20.25" customHeight="1" x14ac:dyDescent="0.3">
      <c r="A13" s="832">
        <v>10</v>
      </c>
      <c r="B13" s="833" t="s">
        <v>287</v>
      </c>
      <c r="C13" s="834">
        <f>SUM(C4:C12)</f>
        <v>139531260.05258948</v>
      </c>
      <c r="D13" s="835">
        <f>SUM(D4:D12)</f>
        <v>0.99999999999999978</v>
      </c>
      <c r="E13" s="836">
        <f>SUM(E4:E12)</f>
        <v>6.2409715772985397</v>
      </c>
      <c r="I13" s="294">
        <f t="shared" si="100"/>
        <v>10</v>
      </c>
      <c r="J13" s="772">
        <f t="shared" si="1"/>
        <v>10</v>
      </c>
      <c r="K13" s="17" t="s">
        <v>413</v>
      </c>
      <c r="L13" s="427">
        <v>54704052</v>
      </c>
      <c r="M13" s="301">
        <f t="shared" si="2"/>
        <v>2.4468096508723919E-2</v>
      </c>
      <c r="N13" s="427">
        <v>239</v>
      </c>
      <c r="O13" s="427">
        <f t="shared" si="74"/>
        <v>228887.24686192468</v>
      </c>
      <c r="P13" s="301">
        <f t="shared" si="3"/>
        <v>0.12410499226370582</v>
      </c>
      <c r="Q13" s="278" t="s">
        <v>385</v>
      </c>
      <c r="U13" s="773">
        <f t="shared" si="101"/>
        <v>10</v>
      </c>
      <c r="V13" s="774">
        <f t="shared" si="4"/>
        <v>10</v>
      </c>
      <c r="W13" s="17" t="s">
        <v>413</v>
      </c>
      <c r="X13" s="303">
        <f t="shared" si="75"/>
        <v>7217596.4460506635</v>
      </c>
      <c r="Y13" s="301">
        <f t="shared" si="5"/>
        <v>6.9677903372359212E-2</v>
      </c>
      <c r="AC13" s="773">
        <f t="shared" si="102"/>
        <v>10</v>
      </c>
      <c r="AD13" s="95">
        <v>10</v>
      </c>
      <c r="AE13" s="305" t="s">
        <v>413</v>
      </c>
      <c r="AF13" s="330">
        <v>8.02</v>
      </c>
      <c r="AP13" s="773">
        <f t="shared" si="77"/>
        <v>10</v>
      </c>
      <c r="AQ13" s="779">
        <f t="shared" si="6"/>
        <v>10</v>
      </c>
      <c r="AR13" s="17" t="s">
        <v>413</v>
      </c>
      <c r="AS13" s="17">
        <f t="shared" si="7"/>
        <v>8.02</v>
      </c>
      <c r="AT13" s="780">
        <v>54704052</v>
      </c>
      <c r="AU13" s="780">
        <f t="shared" si="103"/>
        <v>121868.47139999999</v>
      </c>
      <c r="AV13" s="781">
        <f t="shared" si="8"/>
        <v>119878.16304713314</v>
      </c>
      <c r="AW13" s="782">
        <f t="shared" si="9"/>
        <v>21.511220758941374</v>
      </c>
      <c r="AX13" s="303">
        <f t="shared" si="113"/>
        <v>2578725.629483249</v>
      </c>
      <c r="AY13" s="301">
        <f t="shared" si="10"/>
        <v>5.7260778781654927E-2</v>
      </c>
      <c r="AZ13" s="299">
        <f t="shared" si="11"/>
        <v>4.7139569999999997</v>
      </c>
      <c r="BK13" s="294">
        <f t="shared" si="104"/>
        <v>10</v>
      </c>
      <c r="BL13" s="278">
        <f t="shared" si="12"/>
        <v>10</v>
      </c>
      <c r="BM13" s="17" t="s">
        <v>413</v>
      </c>
      <c r="BN13" s="301">
        <f t="shared" si="13"/>
        <v>5.7260778781654927E-2</v>
      </c>
      <c r="BO13" s="303">
        <f t="shared" si="14"/>
        <v>536486.14381056908</v>
      </c>
      <c r="BP13" s="301">
        <f t="shared" si="15"/>
        <v>2.4468096508723919E-2</v>
      </c>
      <c r="BQ13" s="303">
        <f t="shared" si="16"/>
        <v>229245.82972238018</v>
      </c>
      <c r="BR13" s="530">
        <f t="shared" si="17"/>
        <v>765731.97353294923</v>
      </c>
      <c r="BS13" s="299">
        <f t="shared" si="18"/>
        <v>1.399772</v>
      </c>
      <c r="BV13" s="20"/>
      <c r="BW13" s="235"/>
      <c r="BX13" s="235"/>
      <c r="BY13" s="235"/>
      <c r="BZ13" s="235"/>
      <c r="CA13" s="235"/>
      <c r="CB13" s="235"/>
      <c r="CC13" s="235"/>
      <c r="CD13" s="235"/>
      <c r="CH13" s="294">
        <f t="shared" si="105"/>
        <v>10</v>
      </c>
      <c r="CI13" s="95">
        <f t="shared" si="20"/>
        <v>10</v>
      </c>
      <c r="CJ13" s="17" t="s">
        <v>413</v>
      </c>
      <c r="CK13" s="301">
        <f t="shared" si="21"/>
        <v>2.4468096508723919E-2</v>
      </c>
      <c r="CL13" s="303">
        <f t="shared" si="22"/>
        <v>153579.70809507513</v>
      </c>
      <c r="CM13" s="301">
        <f t="shared" si="23"/>
        <v>0.12410499226370582</v>
      </c>
      <c r="CN13" s="303">
        <f t="shared" si="24"/>
        <v>2597585.6024886323</v>
      </c>
      <c r="CO13" s="303">
        <f t="shared" si="25"/>
        <v>2751165.3105837074</v>
      </c>
      <c r="CP13" s="301">
        <f t="shared" si="26"/>
        <v>0.10111871259984234</v>
      </c>
      <c r="CQ13" s="299">
        <f t="shared" si="27"/>
        <v>5.0291800000000002</v>
      </c>
      <c r="DC13" s="246"/>
      <c r="DD13" s="20"/>
      <c r="DG13" s="773">
        <f t="shared" si="106"/>
        <v>10</v>
      </c>
      <c r="DH13" s="786">
        <f t="shared" si="29"/>
        <v>10</v>
      </c>
      <c r="DI13" s="17" t="s">
        <v>413</v>
      </c>
      <c r="DJ13" s="301">
        <f t="shared" si="30"/>
        <v>0.10111871259984234</v>
      </c>
      <c r="DK13" s="303">
        <f t="shared" si="31"/>
        <v>32119.752455484795</v>
      </c>
      <c r="DL13" s="301">
        <f t="shared" si="32"/>
        <v>0.12410499226370582</v>
      </c>
      <c r="DM13" s="303">
        <f t="shared" si="33"/>
        <v>444528.23381800344</v>
      </c>
      <c r="DN13" s="301">
        <f t="shared" si="34"/>
        <v>2.4468096508723919E-2</v>
      </c>
      <c r="DO13" s="303">
        <f t="shared" si="35"/>
        <v>106833.7178316483</v>
      </c>
      <c r="DP13" s="303">
        <f t="shared" si="78"/>
        <v>583481.70410513657</v>
      </c>
      <c r="DQ13" s="301">
        <f t="shared" si="36"/>
        <v>7.0590190451187071E-2</v>
      </c>
      <c r="DR13" s="299">
        <f t="shared" si="37"/>
        <v>1.0666150000000001</v>
      </c>
      <c r="DV13" s="773">
        <f t="shared" si="107"/>
        <v>10</v>
      </c>
      <c r="DW13" s="786">
        <f t="shared" si="38"/>
        <v>10</v>
      </c>
      <c r="DX13" s="17" t="s">
        <v>413</v>
      </c>
      <c r="DY13" s="301">
        <f t="shared" si="39"/>
        <v>0.12410499226370582</v>
      </c>
      <c r="DZ13" s="303">
        <f t="shared" si="40"/>
        <v>538491.82834562089</v>
      </c>
      <c r="EA13" s="299">
        <f t="shared" si="41"/>
        <v>0.98437300000000005</v>
      </c>
      <c r="EM13" s="773">
        <f t="shared" si="108"/>
        <v>10</v>
      </c>
      <c r="EN13" s="786">
        <f t="shared" si="42"/>
        <v>10</v>
      </c>
      <c r="EO13" s="17" t="s">
        <v>413</v>
      </c>
      <c r="EP13" s="301">
        <f t="shared" si="43"/>
        <v>6.9677903372359212E-2</v>
      </c>
      <c r="EQ13" s="303">
        <f t="shared" si="44"/>
        <v>581807.62110752892</v>
      </c>
      <c r="ER13" s="301">
        <f t="shared" si="45"/>
        <v>0.10111871259984234</v>
      </c>
      <c r="ES13" s="303">
        <f t="shared" si="46"/>
        <v>110848.5854681123</v>
      </c>
      <c r="ET13" s="301">
        <f t="shared" si="47"/>
        <v>2.4468096508723919E-2</v>
      </c>
      <c r="EU13" s="303">
        <f t="shared" si="48"/>
        <v>104651.43322266646</v>
      </c>
      <c r="EV13" s="303">
        <f t="shared" si="49"/>
        <v>797307.63979830767</v>
      </c>
      <c r="EW13" s="301">
        <f t="shared" si="50"/>
        <v>5.8099091530416015E-2</v>
      </c>
      <c r="EX13" s="299">
        <f t="shared" si="51"/>
        <v>1.4574929999999999</v>
      </c>
      <c r="FH13" s="773">
        <f t="shared" si="109"/>
        <v>10</v>
      </c>
      <c r="FI13" s="774">
        <f t="shared" si="52"/>
        <v>10</v>
      </c>
      <c r="FJ13" s="17" t="s">
        <v>413</v>
      </c>
      <c r="FK13" s="301">
        <f t="shared" si="53"/>
        <v>6.9677903372359212E-2</v>
      </c>
      <c r="FL13" s="303">
        <f t="shared" si="54"/>
        <v>1548442.783011432</v>
      </c>
      <c r="FM13" s="299">
        <f t="shared" si="55"/>
        <v>2.8305820000000002</v>
      </c>
      <c r="FQ13" s="294">
        <f t="shared" si="79"/>
        <v>10</v>
      </c>
      <c r="FR13" s="774">
        <v>10</v>
      </c>
      <c r="FS13" s="17" t="s">
        <v>413</v>
      </c>
      <c r="FT13" s="303">
        <f t="shared" si="80"/>
        <v>2578725.629483249</v>
      </c>
      <c r="FU13" s="303">
        <f t="shared" si="56"/>
        <v>765731.97353294923</v>
      </c>
      <c r="FV13" s="303">
        <f t="shared" si="57"/>
        <v>2751165.3105837074</v>
      </c>
      <c r="FW13" s="303">
        <f t="shared" si="58"/>
        <v>583481.70410513657</v>
      </c>
      <c r="FX13" s="303">
        <f t="shared" si="59"/>
        <v>538491.82834562089</v>
      </c>
      <c r="FY13" s="303">
        <f t="shared" si="60"/>
        <v>797307.63979830767</v>
      </c>
      <c r="FZ13" s="303">
        <f t="shared" si="61"/>
        <v>1548442.783011432</v>
      </c>
      <c r="GA13" s="303">
        <f t="shared" si="62"/>
        <v>9563346.8688604031</v>
      </c>
      <c r="GB13" s="381">
        <f t="shared" si="63"/>
        <v>17.481971999999999</v>
      </c>
      <c r="GF13" s="773">
        <f t="shared" si="81"/>
        <v>10</v>
      </c>
      <c r="GG13" s="774">
        <f t="shared" si="64"/>
        <v>10</v>
      </c>
      <c r="GH13" s="17" t="s">
        <v>413</v>
      </c>
      <c r="GI13" s="299">
        <f t="shared" si="82"/>
        <v>4.7139569999999997</v>
      </c>
      <c r="GJ13" s="299">
        <f t="shared" si="65"/>
        <v>1.399772</v>
      </c>
      <c r="GK13" s="299">
        <f t="shared" si="66"/>
        <v>5.0291800000000002</v>
      </c>
      <c r="GL13" s="299">
        <f t="shared" si="67"/>
        <v>1.0666150000000001</v>
      </c>
      <c r="GM13" s="299">
        <f t="shared" si="68"/>
        <v>0.98437300000000005</v>
      </c>
      <c r="GN13" s="299">
        <f t="shared" si="69"/>
        <v>1.4574929999999999</v>
      </c>
      <c r="GO13" s="299">
        <f t="shared" si="70"/>
        <v>2.8305820000000002</v>
      </c>
      <c r="GP13" s="299">
        <f t="shared" si="71"/>
        <v>17.481971999999999</v>
      </c>
      <c r="GQ13" s="427">
        <v>54704052</v>
      </c>
      <c r="GR13" s="755"/>
      <c r="GU13" s="294">
        <f t="shared" si="83"/>
        <v>10</v>
      </c>
      <c r="GV13" s="774">
        <f>FR13</f>
        <v>10</v>
      </c>
      <c r="GW13" s="17" t="s">
        <v>413</v>
      </c>
      <c r="GX13" s="278" t="s">
        <v>385</v>
      </c>
      <c r="GY13" s="303">
        <f>GA13</f>
        <v>9563346.8688604031</v>
      </c>
      <c r="GZ13" s="427">
        <f>VLOOKUP(GV13,$GG$4:$GQ$28,$GZ$35,FALSE)</f>
        <v>54704052</v>
      </c>
      <c r="HA13" s="299">
        <f t="shared" si="84"/>
        <v>17.481971999999999</v>
      </c>
      <c r="HB13" s="303">
        <f t="shared" si="72"/>
        <v>9563347.0535054393</v>
      </c>
      <c r="HC13" s="788">
        <f t="shared" si="73"/>
        <v>0.1846450362354517</v>
      </c>
      <c r="HD13" s="789"/>
      <c r="HG13" s="789"/>
      <c r="HH13" s="789"/>
      <c r="HI13" s="789"/>
      <c r="HJ13" s="789"/>
      <c r="HK13" s="789"/>
      <c r="HL13" s="789"/>
      <c r="HM13" s="789"/>
      <c r="HP13" s="773">
        <f t="shared" si="110"/>
        <v>10</v>
      </c>
      <c r="HQ13" s="792">
        <f>FR13</f>
        <v>10</v>
      </c>
      <c r="HR13" s="17" t="s">
        <v>413</v>
      </c>
      <c r="HS13" s="427">
        <v>54704052</v>
      </c>
      <c r="HT13" s="793">
        <f t="shared" si="85"/>
        <v>17.481971999999999</v>
      </c>
      <c r="HU13" s="793">
        <v>18.41</v>
      </c>
      <c r="HV13" s="783">
        <f t="shared" si="86"/>
        <v>-5.0408908202064118E-2</v>
      </c>
      <c r="HW13" s="793">
        <f t="shared" si="87"/>
        <v>-0.92802800000000119</v>
      </c>
      <c r="HX13" s="785">
        <v>25</v>
      </c>
      <c r="IO13" s="773">
        <f t="shared" si="111"/>
        <v>10</v>
      </c>
      <c r="IP13" s="792">
        <v>10</v>
      </c>
      <c r="IQ13" s="17" t="s">
        <v>413</v>
      </c>
      <c r="IR13" s="799">
        <f t="shared" si="88"/>
        <v>9563346.8688604031</v>
      </c>
      <c r="IS13" s="800">
        <f t="shared" si="88"/>
        <v>54704052</v>
      </c>
      <c r="IT13" s="801">
        <f t="shared" si="88"/>
        <v>17.481971999999999</v>
      </c>
      <c r="IU13" s="427">
        <f t="shared" si="89"/>
        <v>7831095.0978223411</v>
      </c>
      <c r="IV13" s="427">
        <f t="shared" si="90"/>
        <v>46872956.902177662</v>
      </c>
      <c r="IW13" s="799">
        <f t="shared" si="91"/>
        <v>117466.42646733511</v>
      </c>
      <c r="IX13" s="799">
        <f t="shared" si="92"/>
        <v>9445880.4423930682</v>
      </c>
      <c r="IY13" s="670">
        <f t="shared" si="93"/>
        <v>17.267240902727039</v>
      </c>
      <c r="IZ13" s="670">
        <f t="shared" si="94"/>
        <v>18.767240902727039</v>
      </c>
      <c r="JA13" s="799">
        <f t="shared" si="95"/>
        <v>9563346.8688604049</v>
      </c>
      <c r="JB13" s="381">
        <f t="shared" si="96"/>
        <v>0.21473109727295991</v>
      </c>
      <c r="JF13" s="773">
        <f t="shared" si="112"/>
        <v>10</v>
      </c>
      <c r="JG13" s="792">
        <f>FR13</f>
        <v>10</v>
      </c>
      <c r="JH13" s="17" t="s">
        <v>413</v>
      </c>
      <c r="JI13" s="427">
        <v>54704052</v>
      </c>
      <c r="JJ13" s="793">
        <f t="shared" si="97"/>
        <v>17.267240902727039</v>
      </c>
      <c r="JK13" s="793">
        <v>18.190999999999999</v>
      </c>
      <c r="JL13" s="783">
        <f t="shared" si="114"/>
        <v>-5.0781105891537615E-2</v>
      </c>
      <c r="JM13" s="793">
        <f t="shared" si="99"/>
        <v>-0.92375909727295991</v>
      </c>
      <c r="JN13" s="785">
        <v>25</v>
      </c>
    </row>
    <row r="14" spans="1:277" x14ac:dyDescent="0.3">
      <c r="C14" s="305"/>
      <c r="I14" s="294">
        <f t="shared" si="100"/>
        <v>11</v>
      </c>
      <c r="J14" s="772">
        <f t="shared" si="1"/>
        <v>11</v>
      </c>
      <c r="K14" s="17" t="s">
        <v>414</v>
      </c>
      <c r="L14" s="427">
        <v>25517958</v>
      </c>
      <c r="M14" s="301">
        <f t="shared" si="2"/>
        <v>1.1413704035115418E-2</v>
      </c>
      <c r="N14" s="427">
        <v>1597.2</v>
      </c>
      <c r="O14" s="427">
        <f t="shared" si="74"/>
        <v>15976.68294515402</v>
      </c>
      <c r="P14" s="301">
        <f t="shared" si="3"/>
        <v>8.6627199221113796E-3</v>
      </c>
      <c r="Q14" s="278" t="s">
        <v>389</v>
      </c>
      <c r="U14" s="773">
        <f t="shared" si="101"/>
        <v>11</v>
      </c>
      <c r="V14" s="774">
        <f t="shared" si="4"/>
        <v>11</v>
      </c>
      <c r="W14" s="17" t="s">
        <v>414</v>
      </c>
      <c r="X14" s="303">
        <f t="shared" si="75"/>
        <v>1822120.5138987</v>
      </c>
      <c r="Y14" s="301">
        <f t="shared" si="5"/>
        <v>1.7590556364466478E-2</v>
      </c>
      <c r="AC14" s="773">
        <f t="shared" si="102"/>
        <v>11</v>
      </c>
      <c r="AD14" s="95">
        <v>11</v>
      </c>
      <c r="AE14" s="305" t="s">
        <v>414</v>
      </c>
      <c r="AF14" s="330">
        <v>7.4</v>
      </c>
      <c r="AP14" s="773">
        <f t="shared" si="77"/>
        <v>11</v>
      </c>
      <c r="AQ14" s="779">
        <f t="shared" si="6"/>
        <v>11</v>
      </c>
      <c r="AR14" s="17" t="s">
        <v>414</v>
      </c>
      <c r="AS14" s="17">
        <f t="shared" si="7"/>
        <v>7.4</v>
      </c>
      <c r="AT14" s="780">
        <v>25517958</v>
      </c>
      <c r="AU14" s="780">
        <f t="shared" si="103"/>
        <v>52453.580333333339</v>
      </c>
      <c r="AV14" s="781">
        <f t="shared" si="8"/>
        <v>51596.928913356591</v>
      </c>
      <c r="AW14" s="782">
        <f t="shared" si="9"/>
        <v>21.511220758941374</v>
      </c>
      <c r="AX14" s="303">
        <f t="shared" si="113"/>
        <v>1109912.9283386187</v>
      </c>
      <c r="AY14" s="301">
        <f t="shared" si="10"/>
        <v>2.4645692403201559E-2</v>
      </c>
      <c r="AZ14" s="299">
        <f t="shared" si="11"/>
        <v>4.3495369999999998</v>
      </c>
      <c r="BK14" s="294">
        <f t="shared" si="104"/>
        <v>11</v>
      </c>
      <c r="BL14" s="278">
        <f t="shared" si="12"/>
        <v>11</v>
      </c>
      <c r="BM14" s="17" t="s">
        <v>414</v>
      </c>
      <c r="BN14" s="301">
        <f t="shared" si="13"/>
        <v>2.4645692403201559E-2</v>
      </c>
      <c r="BO14" s="303">
        <f t="shared" si="14"/>
        <v>230909.75638583349</v>
      </c>
      <c r="BP14" s="301">
        <f t="shared" si="15"/>
        <v>1.1413704035115418E-2</v>
      </c>
      <c r="BQ14" s="303">
        <f t="shared" si="16"/>
        <v>106936.9679330308</v>
      </c>
      <c r="BR14" s="530">
        <f t="shared" si="17"/>
        <v>337846.72431886429</v>
      </c>
      <c r="BS14" s="299">
        <f t="shared" si="18"/>
        <v>1.3239570000000001</v>
      </c>
      <c r="BV14" s="20"/>
      <c r="BW14" s="235"/>
      <c r="BX14" s="235"/>
      <c r="BY14" s="235"/>
      <c r="BZ14" s="235"/>
      <c r="CA14" s="235"/>
      <c r="CB14" s="235"/>
      <c r="CC14" s="235"/>
      <c r="CD14" s="235"/>
      <c r="CH14" s="294">
        <f t="shared" si="105"/>
        <v>11</v>
      </c>
      <c r="CI14" s="95">
        <f t="shared" si="20"/>
        <v>11</v>
      </c>
      <c r="CJ14" s="17" t="s">
        <v>414</v>
      </c>
      <c r="CK14" s="301">
        <f t="shared" si="21"/>
        <v>1.1413704035115418E-2</v>
      </c>
      <c r="CL14" s="303">
        <f t="shared" si="22"/>
        <v>71640.772438984728</v>
      </c>
      <c r="CM14" s="301">
        <f t="shared" si="23"/>
        <v>8.6627199221113796E-3</v>
      </c>
      <c r="CN14" s="303">
        <f t="shared" si="24"/>
        <v>181315.48246064121</v>
      </c>
      <c r="CO14" s="303">
        <f t="shared" si="25"/>
        <v>252956.25489962596</v>
      </c>
      <c r="CP14" s="301">
        <f t="shared" si="26"/>
        <v>9.2973732771080893E-3</v>
      </c>
      <c r="CQ14" s="299">
        <f t="shared" si="27"/>
        <v>0.99128700000000003</v>
      </c>
      <c r="DD14" s="20"/>
      <c r="DG14" s="773">
        <f t="shared" si="106"/>
        <v>11</v>
      </c>
      <c r="DH14" s="786">
        <f t="shared" si="29"/>
        <v>11</v>
      </c>
      <c r="DI14" s="17" t="s">
        <v>414</v>
      </c>
      <c r="DJ14" s="301">
        <f t="shared" si="30"/>
        <v>9.2973732771080893E-3</v>
      </c>
      <c r="DK14" s="303">
        <f t="shared" si="31"/>
        <v>2953.2548473863467</v>
      </c>
      <c r="DL14" s="301">
        <f t="shared" si="32"/>
        <v>8.6627199221113796E-3</v>
      </c>
      <c r="DM14" s="303">
        <f t="shared" si="33"/>
        <v>31028.756513305609</v>
      </c>
      <c r="DN14" s="301">
        <f t="shared" si="34"/>
        <v>1.1413704035115418E-2</v>
      </c>
      <c r="DO14" s="303">
        <f t="shared" si="35"/>
        <v>49835.034607890702</v>
      </c>
      <c r="DP14" s="303">
        <f t="shared" si="78"/>
        <v>83817.04596858265</v>
      </c>
      <c r="DQ14" s="301">
        <f t="shared" si="36"/>
        <v>1.0140268660269829E-2</v>
      </c>
      <c r="DR14" s="299">
        <f t="shared" si="37"/>
        <v>0.328463</v>
      </c>
      <c r="DV14" s="773">
        <f t="shared" si="107"/>
        <v>11</v>
      </c>
      <c r="DW14" s="786">
        <f t="shared" si="38"/>
        <v>11</v>
      </c>
      <c r="DX14" s="17" t="s">
        <v>414</v>
      </c>
      <c r="DY14" s="301">
        <f t="shared" si="39"/>
        <v>8.6627199221113796E-3</v>
      </c>
      <c r="DZ14" s="303">
        <f t="shared" si="40"/>
        <v>37587.560373008469</v>
      </c>
      <c r="EA14" s="299">
        <f t="shared" si="41"/>
        <v>0.14729800000000001</v>
      </c>
      <c r="EM14" s="773">
        <f t="shared" si="108"/>
        <v>11</v>
      </c>
      <c r="EN14" s="786">
        <f t="shared" si="42"/>
        <v>11</v>
      </c>
      <c r="EO14" s="17" t="s">
        <v>414</v>
      </c>
      <c r="EP14" s="301">
        <f t="shared" si="43"/>
        <v>1.7590556364466478E-2</v>
      </c>
      <c r="EQ14" s="303">
        <f t="shared" si="44"/>
        <v>146880.42057861396</v>
      </c>
      <c r="ER14" s="301">
        <f t="shared" si="45"/>
        <v>9.2973732771080893E-3</v>
      </c>
      <c r="ES14" s="303">
        <f t="shared" si="46"/>
        <v>10191.987712648808</v>
      </c>
      <c r="ET14" s="301">
        <f t="shared" si="47"/>
        <v>1.1413704035115418E-2</v>
      </c>
      <c r="EU14" s="303">
        <f t="shared" si="48"/>
        <v>48817.05796886504</v>
      </c>
      <c r="EV14" s="303">
        <f t="shared" si="49"/>
        <v>205889.46626012781</v>
      </c>
      <c r="EW14" s="301">
        <f t="shared" si="50"/>
        <v>1.5002980466136824E-2</v>
      </c>
      <c r="EX14" s="299">
        <f t="shared" si="51"/>
        <v>0.80684100000000003</v>
      </c>
      <c r="FH14" s="773">
        <f t="shared" si="109"/>
        <v>11</v>
      </c>
      <c r="FI14" s="774">
        <f t="shared" si="52"/>
        <v>11</v>
      </c>
      <c r="FJ14" s="17" t="s">
        <v>414</v>
      </c>
      <c r="FK14" s="301">
        <f t="shared" si="53"/>
        <v>1.7590556364466478E-2</v>
      </c>
      <c r="FL14" s="303">
        <f t="shared" si="54"/>
        <v>390912.59543436643</v>
      </c>
      <c r="FM14" s="299">
        <f t="shared" si="55"/>
        <v>1.5319119999999999</v>
      </c>
      <c r="FQ14" s="294">
        <f t="shared" si="79"/>
        <v>11</v>
      </c>
      <c r="FR14" s="774">
        <v>11</v>
      </c>
      <c r="FS14" s="17" t="s">
        <v>414</v>
      </c>
      <c r="FT14" s="303">
        <f t="shared" si="80"/>
        <v>1109912.9283386187</v>
      </c>
      <c r="FU14" s="303">
        <f t="shared" si="56"/>
        <v>337846.72431886429</v>
      </c>
      <c r="FV14" s="303">
        <f t="shared" si="57"/>
        <v>252956.25489962596</v>
      </c>
      <c r="FW14" s="303">
        <f t="shared" si="58"/>
        <v>83817.04596858265</v>
      </c>
      <c r="FX14" s="303">
        <f t="shared" si="59"/>
        <v>37587.560373008469</v>
      </c>
      <c r="FY14" s="303">
        <f t="shared" si="60"/>
        <v>205889.46626012781</v>
      </c>
      <c r="FZ14" s="303">
        <f t="shared" si="61"/>
        <v>390912.59543436643</v>
      </c>
      <c r="GA14" s="303">
        <f t="shared" si="62"/>
        <v>2418922.575593194</v>
      </c>
      <c r="GB14" s="381">
        <f t="shared" si="63"/>
        <v>9.4792950000000005</v>
      </c>
      <c r="GF14" s="773">
        <f t="shared" si="81"/>
        <v>11</v>
      </c>
      <c r="GG14" s="774">
        <f t="shared" si="64"/>
        <v>11</v>
      </c>
      <c r="GH14" s="17" t="s">
        <v>414</v>
      </c>
      <c r="GI14" s="299">
        <f t="shared" si="82"/>
        <v>4.3495369999999998</v>
      </c>
      <c r="GJ14" s="299">
        <f t="shared" si="65"/>
        <v>1.3239570000000001</v>
      </c>
      <c r="GK14" s="299">
        <f t="shared" si="66"/>
        <v>0.99128700000000003</v>
      </c>
      <c r="GL14" s="299">
        <f t="shared" si="67"/>
        <v>0.328463</v>
      </c>
      <c r="GM14" s="299">
        <f t="shared" si="68"/>
        <v>0.14729800000000001</v>
      </c>
      <c r="GN14" s="299">
        <f t="shared" si="69"/>
        <v>0.80684100000000003</v>
      </c>
      <c r="GO14" s="299">
        <f t="shared" si="70"/>
        <v>1.5319119999999999</v>
      </c>
      <c r="GP14" s="299">
        <f t="shared" si="71"/>
        <v>9.4792950000000005</v>
      </c>
      <c r="GQ14" s="427">
        <v>25517958</v>
      </c>
      <c r="GR14" s="755"/>
      <c r="GU14" s="294">
        <f t="shared" si="83"/>
        <v>11</v>
      </c>
      <c r="GV14" s="774">
        <f>FR14</f>
        <v>11</v>
      </c>
      <c r="GW14" s="17" t="s">
        <v>414</v>
      </c>
      <c r="GX14" s="278" t="s">
        <v>389</v>
      </c>
      <c r="GY14" s="303">
        <f>GA14</f>
        <v>2418922.575593194</v>
      </c>
      <c r="GZ14" s="427">
        <f>VLOOKUP(GV14,$GG$4:$GQ$28,$GZ$35,FALSE)</f>
        <v>25517958</v>
      </c>
      <c r="HA14" s="299">
        <f t="shared" si="84"/>
        <v>9.4792950000000005</v>
      </c>
      <c r="HB14" s="303">
        <f t="shared" si="72"/>
        <v>2418922.5167961</v>
      </c>
      <c r="HC14" s="788">
        <f t="shared" si="73"/>
        <v>-5.8797094039618969E-2</v>
      </c>
      <c r="HD14" s="789"/>
      <c r="HG14" s="789"/>
      <c r="HH14" s="789"/>
      <c r="HI14" s="789"/>
      <c r="HJ14" s="789"/>
      <c r="HK14" s="789"/>
      <c r="HL14" s="789"/>
      <c r="HM14" s="789"/>
      <c r="HP14" s="773">
        <f t="shared" si="110"/>
        <v>11</v>
      </c>
      <c r="HQ14" s="792">
        <f>FR14</f>
        <v>11</v>
      </c>
      <c r="HR14" s="17" t="s">
        <v>414</v>
      </c>
      <c r="HS14" s="427">
        <v>25517958</v>
      </c>
      <c r="HT14" s="793">
        <f t="shared" si="85"/>
        <v>9.4792950000000005</v>
      </c>
      <c r="HU14" s="793">
        <v>7.4249999999999998</v>
      </c>
      <c r="HV14" s="783">
        <f t="shared" si="86"/>
        <v>0.2766727272727274</v>
      </c>
      <c r="HW14" s="793">
        <f t="shared" si="87"/>
        <v>2.0542950000000006</v>
      </c>
      <c r="HX14" s="785">
        <v>10</v>
      </c>
      <c r="IO14" s="773">
        <f t="shared" si="111"/>
        <v>11</v>
      </c>
      <c r="IP14" s="792">
        <v>11</v>
      </c>
      <c r="IQ14" s="17" t="s">
        <v>414</v>
      </c>
      <c r="IR14" s="799">
        <f t="shared" si="88"/>
        <v>2418922.575593194</v>
      </c>
      <c r="IS14" s="800">
        <f t="shared" si="88"/>
        <v>25517958</v>
      </c>
      <c r="IT14" s="801">
        <f t="shared" si="88"/>
        <v>9.4792950000000005</v>
      </c>
      <c r="IU14" s="427">
        <v>0</v>
      </c>
      <c r="IV14" s="427">
        <f t="shared" si="90"/>
        <v>25517958</v>
      </c>
      <c r="IW14" s="799">
        <f t="shared" si="91"/>
        <v>0</v>
      </c>
      <c r="IX14" s="799">
        <f t="shared" si="92"/>
        <v>2418922.575593194</v>
      </c>
      <c r="IY14" s="670">
        <f t="shared" si="93"/>
        <v>9.4792952304145732</v>
      </c>
      <c r="IZ14" s="670">
        <f>IY14</f>
        <v>9.4792952304145732</v>
      </c>
      <c r="JA14" s="799">
        <f t="shared" si="95"/>
        <v>2418922.575593194</v>
      </c>
      <c r="JB14" s="381">
        <f t="shared" si="96"/>
        <v>-2.3041457275496668E-7</v>
      </c>
      <c r="JF14" s="773">
        <f t="shared" si="112"/>
        <v>11</v>
      </c>
      <c r="JG14" s="792">
        <f>FR14</f>
        <v>11</v>
      </c>
      <c r="JH14" s="17" t="s">
        <v>414</v>
      </c>
      <c r="JI14" s="427">
        <v>25517958</v>
      </c>
      <c r="JJ14" s="793">
        <f t="shared" si="97"/>
        <v>9.4792952304145732</v>
      </c>
      <c r="JK14" s="793">
        <v>7.4249999999999998</v>
      </c>
      <c r="JL14" s="783">
        <f t="shared" si="114"/>
        <v>0.27667275830499305</v>
      </c>
      <c r="JM14" s="793">
        <f t="shared" si="99"/>
        <v>2.0542952304145734</v>
      </c>
      <c r="JN14" s="785">
        <v>10</v>
      </c>
    </row>
    <row r="15" spans="1:277" x14ac:dyDescent="0.3">
      <c r="I15" s="294">
        <f t="shared" si="100"/>
        <v>12</v>
      </c>
      <c r="J15" s="772">
        <f t="shared" si="1"/>
        <v>12</v>
      </c>
      <c r="K15" s="17" t="s">
        <v>415</v>
      </c>
      <c r="L15" s="427">
        <v>1548</v>
      </c>
      <c r="M15" s="301">
        <f t="shared" si="2"/>
        <v>6.9239136792836892E-7</v>
      </c>
      <c r="N15" s="427">
        <v>19</v>
      </c>
      <c r="O15" s="427">
        <f t="shared" si="74"/>
        <v>81.473684210526315</v>
      </c>
      <c r="P15" s="301">
        <f t="shared" si="3"/>
        <v>4.4175859892895546E-5</v>
      </c>
      <c r="Q15" s="278" t="s">
        <v>385</v>
      </c>
      <c r="U15" s="773">
        <f t="shared" si="101"/>
        <v>12</v>
      </c>
      <c r="V15" s="774">
        <f t="shared" si="4"/>
        <v>12</v>
      </c>
      <c r="W15" s="17" t="s">
        <v>415</v>
      </c>
      <c r="X15" s="303">
        <f t="shared" si="75"/>
        <v>2121.8568259141675</v>
      </c>
      <c r="Y15" s="301">
        <f t="shared" si="5"/>
        <v>2.048417863081374E-5</v>
      </c>
      <c r="AC15" s="773">
        <f t="shared" si="102"/>
        <v>12</v>
      </c>
      <c r="AD15" s="95">
        <v>12</v>
      </c>
      <c r="AE15" s="305" t="s">
        <v>415</v>
      </c>
      <c r="AF15" s="330">
        <v>74.84</v>
      </c>
      <c r="AP15" s="773">
        <f t="shared" si="77"/>
        <v>12</v>
      </c>
      <c r="AQ15" s="779">
        <f t="shared" si="6"/>
        <v>12</v>
      </c>
      <c r="AR15" s="17" t="s">
        <v>415</v>
      </c>
      <c r="AS15" s="17">
        <f t="shared" si="7"/>
        <v>74.84</v>
      </c>
      <c r="AT15" s="780">
        <v>1548</v>
      </c>
      <c r="AU15" s="780">
        <f t="shared" si="103"/>
        <v>32.181200000000004</v>
      </c>
      <c r="AV15" s="781">
        <f t="shared" si="8"/>
        <v>31.655629190507771</v>
      </c>
      <c r="AW15" s="782">
        <f t="shared" si="9"/>
        <v>21.511220758941374</v>
      </c>
      <c r="AX15" s="303">
        <f t="shared" si="113"/>
        <v>680.95122778020129</v>
      </c>
      <c r="AY15" s="301">
        <f t="shared" si="10"/>
        <v>1.5120568535564595E-5</v>
      </c>
      <c r="AZ15" s="299">
        <f t="shared" si="11"/>
        <v>43.989097000000001</v>
      </c>
      <c r="BK15" s="294">
        <f t="shared" si="104"/>
        <v>12</v>
      </c>
      <c r="BL15" s="278">
        <f t="shared" si="12"/>
        <v>12</v>
      </c>
      <c r="BM15" s="17" t="s">
        <v>415</v>
      </c>
      <c r="BN15" s="301">
        <f t="shared" si="13"/>
        <v>1.5120568535564595E-5</v>
      </c>
      <c r="BO15" s="303">
        <f t="shared" si="14"/>
        <v>141.66722280884119</v>
      </c>
      <c r="BP15" s="301">
        <f t="shared" si="15"/>
        <v>6.9239136792836892E-7</v>
      </c>
      <c r="BQ15" s="303">
        <f t="shared" si="16"/>
        <v>6.4871345254323112</v>
      </c>
      <c r="BR15" s="530">
        <f t="shared" si="17"/>
        <v>148.1543573342735</v>
      </c>
      <c r="BS15" s="299">
        <f t="shared" si="18"/>
        <v>9.5706950000000006</v>
      </c>
      <c r="BV15" s="20"/>
      <c r="BW15" s="235"/>
      <c r="BX15" s="235"/>
      <c r="BY15" s="235"/>
      <c r="BZ15" s="235"/>
      <c r="CA15" s="235"/>
      <c r="CB15" s="235"/>
      <c r="CC15" s="235"/>
      <c r="CD15" s="235"/>
      <c r="CH15" s="294">
        <f t="shared" si="105"/>
        <v>12</v>
      </c>
      <c r="CI15" s="95">
        <f t="shared" si="20"/>
        <v>12</v>
      </c>
      <c r="CJ15" s="17" t="s">
        <v>415</v>
      </c>
      <c r="CK15" s="301">
        <f t="shared" si="21"/>
        <v>6.9239136792836892E-7</v>
      </c>
      <c r="CL15" s="303">
        <f t="shared" si="22"/>
        <v>4.3459557279445455</v>
      </c>
      <c r="CM15" s="301">
        <f t="shared" si="23"/>
        <v>4.4175859892895546E-5</v>
      </c>
      <c r="CN15" s="303">
        <f t="shared" si="24"/>
        <v>924.62499325983185</v>
      </c>
      <c r="CO15" s="303">
        <f t="shared" si="25"/>
        <v>928.97094898777641</v>
      </c>
      <c r="CP15" s="301">
        <f t="shared" si="26"/>
        <v>3.4144202837585043E-5</v>
      </c>
      <c r="CQ15" s="299">
        <f t="shared" si="27"/>
        <v>60.011043000000001</v>
      </c>
      <c r="DD15" s="20"/>
      <c r="DG15" s="773">
        <f t="shared" si="106"/>
        <v>12</v>
      </c>
      <c r="DH15" s="786">
        <f t="shared" si="29"/>
        <v>12</v>
      </c>
      <c r="DI15" s="17" t="s">
        <v>415</v>
      </c>
      <c r="DJ15" s="301">
        <f t="shared" si="30"/>
        <v>3.4144202837585043E-5</v>
      </c>
      <c r="DK15" s="303">
        <f t="shared" si="31"/>
        <v>10.845701203426941</v>
      </c>
      <c r="DL15" s="301">
        <f t="shared" si="32"/>
        <v>4.4175859892895546E-5</v>
      </c>
      <c r="DM15" s="303">
        <f t="shared" si="33"/>
        <v>158.23228878539919</v>
      </c>
      <c r="DN15" s="301">
        <f t="shared" si="34"/>
        <v>6.9239136792836892E-7</v>
      </c>
      <c r="DO15" s="303">
        <f t="shared" si="35"/>
        <v>3.023150738511867</v>
      </c>
      <c r="DP15" s="303">
        <f t="shared" si="78"/>
        <v>172.10114072733799</v>
      </c>
      <c r="DQ15" s="301">
        <f t="shared" si="36"/>
        <v>2.0820965276779769E-5</v>
      </c>
      <c r="DR15" s="299">
        <f t="shared" si="37"/>
        <v>11.117645</v>
      </c>
      <c r="DV15" s="773">
        <f t="shared" si="107"/>
        <v>12</v>
      </c>
      <c r="DW15" s="786">
        <f t="shared" si="38"/>
        <v>12</v>
      </c>
      <c r="DX15" s="17" t="s">
        <v>415</v>
      </c>
      <c r="DY15" s="301">
        <f t="shared" si="39"/>
        <v>4.4175859892895546E-5</v>
      </c>
      <c r="DZ15" s="303">
        <f t="shared" si="40"/>
        <v>191.67915108457845</v>
      </c>
      <c r="EA15" s="299">
        <f t="shared" si="41"/>
        <v>12.382374</v>
      </c>
      <c r="EM15" s="773">
        <f t="shared" si="108"/>
        <v>12</v>
      </c>
      <c r="EN15" s="786">
        <f t="shared" si="42"/>
        <v>12</v>
      </c>
      <c r="EO15" s="17" t="s">
        <v>415</v>
      </c>
      <c r="EP15" s="301">
        <f t="shared" si="43"/>
        <v>2.048417863081374E-5</v>
      </c>
      <c r="EQ15" s="303">
        <f t="shared" si="44"/>
        <v>171.04204723047334</v>
      </c>
      <c r="ER15" s="301">
        <f t="shared" si="45"/>
        <v>3.4144202837585043E-5</v>
      </c>
      <c r="ES15" s="303">
        <f t="shared" si="46"/>
        <v>37.429635812911933</v>
      </c>
      <c r="ET15" s="301">
        <f t="shared" si="47"/>
        <v>6.9239136792836892E-7</v>
      </c>
      <c r="EU15" s="303">
        <f t="shared" si="48"/>
        <v>2.9613970575468094</v>
      </c>
      <c r="EV15" s="303">
        <f t="shared" si="49"/>
        <v>211.43308010093207</v>
      </c>
      <c r="EW15" s="301">
        <f t="shared" si="50"/>
        <v>1.5406938627164408E-5</v>
      </c>
      <c r="EX15" s="299">
        <f t="shared" si="51"/>
        <v>13.658467999999999</v>
      </c>
      <c r="FH15" s="773">
        <f t="shared" si="109"/>
        <v>12</v>
      </c>
      <c r="FI15" s="774">
        <f t="shared" si="52"/>
        <v>12</v>
      </c>
      <c r="FJ15" s="17" t="s">
        <v>415</v>
      </c>
      <c r="FK15" s="301">
        <f t="shared" si="53"/>
        <v>2.048417863081374E-5</v>
      </c>
      <c r="FL15" s="303">
        <f t="shared" si="54"/>
        <v>455.21717835417957</v>
      </c>
      <c r="FM15" s="299">
        <f t="shared" si="55"/>
        <v>29.406794000000001</v>
      </c>
      <c r="FQ15" s="294">
        <f t="shared" si="79"/>
        <v>12</v>
      </c>
      <c r="FR15" s="774">
        <v>12</v>
      </c>
      <c r="FS15" s="17" t="s">
        <v>415</v>
      </c>
      <c r="FT15" s="303">
        <f t="shared" si="80"/>
        <v>680.95122778020129</v>
      </c>
      <c r="FU15" s="303">
        <f t="shared" si="56"/>
        <v>148.1543573342735</v>
      </c>
      <c r="FV15" s="303">
        <f t="shared" si="57"/>
        <v>928.97094898777641</v>
      </c>
      <c r="FW15" s="303">
        <f t="shared" si="58"/>
        <v>172.10114072733799</v>
      </c>
      <c r="FX15" s="303">
        <f t="shared" si="59"/>
        <v>191.67915108457845</v>
      </c>
      <c r="FY15" s="303">
        <f t="shared" si="60"/>
        <v>211.43308010093207</v>
      </c>
      <c r="FZ15" s="303">
        <f t="shared" si="61"/>
        <v>455.21717835417957</v>
      </c>
      <c r="GA15" s="303">
        <f t="shared" si="62"/>
        <v>2788.5070843692788</v>
      </c>
      <c r="GB15" s="381">
        <f t="shared" si="63"/>
        <v>180.13611700000001</v>
      </c>
      <c r="GF15" s="773">
        <f t="shared" si="81"/>
        <v>12</v>
      </c>
      <c r="GG15" s="774">
        <f t="shared" si="64"/>
        <v>12</v>
      </c>
      <c r="GH15" s="17" t="s">
        <v>415</v>
      </c>
      <c r="GI15" s="299">
        <f t="shared" si="82"/>
        <v>43.989097000000001</v>
      </c>
      <c r="GJ15" s="299">
        <f t="shared" si="65"/>
        <v>9.5706950000000006</v>
      </c>
      <c r="GK15" s="299">
        <f t="shared" si="66"/>
        <v>60.011043000000001</v>
      </c>
      <c r="GL15" s="299">
        <f t="shared" si="67"/>
        <v>11.117645</v>
      </c>
      <c r="GM15" s="299">
        <f t="shared" si="68"/>
        <v>12.382374</v>
      </c>
      <c r="GN15" s="299">
        <f t="shared" si="69"/>
        <v>13.658467999999999</v>
      </c>
      <c r="GO15" s="299">
        <f t="shared" si="70"/>
        <v>29.406794000000001</v>
      </c>
      <c r="GP15" s="299">
        <f t="shared" si="71"/>
        <v>180.13611700000001</v>
      </c>
      <c r="GQ15" s="427">
        <v>1548</v>
      </c>
      <c r="GR15" s="755"/>
      <c r="GU15" s="294">
        <f t="shared" si="83"/>
        <v>12</v>
      </c>
      <c r="GV15" s="774">
        <f>FR15</f>
        <v>12</v>
      </c>
      <c r="GW15" s="17" t="s">
        <v>415</v>
      </c>
      <c r="GX15" s="278" t="s">
        <v>385</v>
      </c>
      <c r="GY15" s="303">
        <f>GA15</f>
        <v>2788.5070843692788</v>
      </c>
      <c r="GZ15" s="427">
        <f>VLOOKUP(GV15,$GG$4:$GQ$28,$GZ$35,FALSE)</f>
        <v>1548</v>
      </c>
      <c r="HA15" s="299">
        <f t="shared" si="84"/>
        <v>180.13611700000001</v>
      </c>
      <c r="HB15" s="303">
        <f t="shared" si="72"/>
        <v>2788.5070911600005</v>
      </c>
      <c r="HC15" s="788">
        <f t="shared" si="73"/>
        <v>6.7907217271567788E-6</v>
      </c>
      <c r="HD15" s="789"/>
      <c r="HG15" s="789"/>
      <c r="HH15" s="789"/>
      <c r="HI15" s="789"/>
      <c r="HJ15" s="789"/>
      <c r="HK15" s="789"/>
      <c r="HL15" s="789"/>
      <c r="HM15" s="789"/>
      <c r="HP15" s="773">
        <f t="shared" si="110"/>
        <v>12</v>
      </c>
      <c r="HQ15" s="792">
        <f>FR15</f>
        <v>12</v>
      </c>
      <c r="HR15" s="17" t="s">
        <v>415</v>
      </c>
      <c r="HS15" s="427">
        <v>1548</v>
      </c>
      <c r="HT15" s="793">
        <f t="shared" si="85"/>
        <v>180.13611700000001</v>
      </c>
      <c r="HU15" s="793">
        <v>180.73400000000001</v>
      </c>
      <c r="HV15" s="783">
        <f t="shared" si="86"/>
        <v>-3.3080825965230432E-3</v>
      </c>
      <c r="HW15" s="793">
        <f t="shared" si="87"/>
        <v>-0.59788299999999595</v>
      </c>
      <c r="HX15" s="785">
        <v>10</v>
      </c>
      <c r="IO15" s="773">
        <f t="shared" si="111"/>
        <v>12</v>
      </c>
      <c r="IP15" s="792">
        <v>12</v>
      </c>
      <c r="IQ15" s="17" t="s">
        <v>415</v>
      </c>
      <c r="IR15" s="799">
        <f t="shared" si="88"/>
        <v>2788.5070843692788</v>
      </c>
      <c r="IS15" s="800">
        <f t="shared" si="88"/>
        <v>1548</v>
      </c>
      <c r="IT15" s="801">
        <f t="shared" si="88"/>
        <v>180.13611700000001</v>
      </c>
      <c r="IU15" s="427">
        <f t="shared" si="89"/>
        <v>221.60214405011504</v>
      </c>
      <c r="IV15" s="427">
        <f t="shared" si="90"/>
        <v>1326.3978559498851</v>
      </c>
      <c r="IW15" s="799">
        <f t="shared" si="91"/>
        <v>3.3240321607517256</v>
      </c>
      <c r="IX15" s="799">
        <f t="shared" si="92"/>
        <v>2785.183052208527</v>
      </c>
      <c r="IY15" s="670">
        <f t="shared" si="93"/>
        <v>179.92138580158442</v>
      </c>
      <c r="IZ15" s="670">
        <f>IY15+1.5</f>
        <v>181.42138580158442</v>
      </c>
      <c r="JA15" s="799">
        <f t="shared" si="95"/>
        <v>2788.5070843692788</v>
      </c>
      <c r="JB15" s="381">
        <f t="shared" si="96"/>
        <v>0.21473119841559196</v>
      </c>
      <c r="JF15" s="773">
        <f t="shared" si="112"/>
        <v>12</v>
      </c>
      <c r="JG15" s="792">
        <f>FR15</f>
        <v>12</v>
      </c>
      <c r="JH15" s="17" t="s">
        <v>415</v>
      </c>
      <c r="JI15" s="427">
        <v>1548</v>
      </c>
      <c r="JJ15" s="793">
        <f t="shared" si="97"/>
        <v>179.92138580158442</v>
      </c>
      <c r="JK15" s="793">
        <v>180.51499999999999</v>
      </c>
      <c r="JL15" s="783">
        <f t="shared" si="114"/>
        <v>-3.2884480426311757E-3</v>
      </c>
      <c r="JM15" s="793">
        <f t="shared" si="99"/>
        <v>-0.5936141984155654</v>
      </c>
      <c r="JN15" s="785">
        <v>10</v>
      </c>
    </row>
    <row r="16" spans="1:277" x14ac:dyDescent="0.3">
      <c r="E16" s="616"/>
      <c r="I16" s="294">
        <f t="shared" si="100"/>
        <v>13</v>
      </c>
      <c r="J16" s="772">
        <f t="shared" si="1"/>
        <v>13</v>
      </c>
      <c r="K16" s="17" t="s">
        <v>416</v>
      </c>
      <c r="L16" s="427">
        <v>2571276</v>
      </c>
      <c r="M16" s="301">
        <f t="shared" si="2"/>
        <v>1.1500835316288016E-3</v>
      </c>
      <c r="N16" s="427">
        <v>1213.2</v>
      </c>
      <c r="O16" s="427">
        <f t="shared" si="74"/>
        <v>2119.4164193867459</v>
      </c>
      <c r="P16" s="301">
        <f t="shared" si="3"/>
        <v>1.1491691299438589E-3</v>
      </c>
      <c r="Q16" s="278" t="s">
        <v>389</v>
      </c>
      <c r="U16" s="773">
        <f>+U15+1</f>
        <v>13</v>
      </c>
      <c r="V16" s="774">
        <f t="shared" si="4"/>
        <v>13</v>
      </c>
      <c r="W16" s="17" t="s">
        <v>416</v>
      </c>
      <c r="X16" s="303">
        <f t="shared" si="75"/>
        <v>185069.02953714566</v>
      </c>
      <c r="Y16" s="301">
        <f t="shared" si="5"/>
        <v>1.7866365976115992E-3</v>
      </c>
      <c r="AC16" s="773">
        <f t="shared" si="102"/>
        <v>13</v>
      </c>
      <c r="AD16" s="95">
        <v>13</v>
      </c>
      <c r="AE16" s="305" t="s">
        <v>416</v>
      </c>
      <c r="AF16" s="330">
        <v>7.04</v>
      </c>
      <c r="AP16" s="773">
        <f t="shared" si="77"/>
        <v>13</v>
      </c>
      <c r="AQ16" s="779">
        <f t="shared" si="6"/>
        <v>13</v>
      </c>
      <c r="AR16" s="17" t="s">
        <v>416</v>
      </c>
      <c r="AS16" s="17">
        <f t="shared" si="7"/>
        <v>7.04</v>
      </c>
      <c r="AT16" s="780">
        <v>2571276</v>
      </c>
      <c r="AU16" s="780">
        <f t="shared" si="103"/>
        <v>5028.2730666666666</v>
      </c>
      <c r="AV16" s="781">
        <f t="shared" si="8"/>
        <v>4946.153271693328</v>
      </c>
      <c r="AW16" s="782">
        <f t="shared" si="9"/>
        <v>21.511220758941374</v>
      </c>
      <c r="AX16" s="303">
        <f>AV16*AW16</f>
        <v>106397.79493495531</v>
      </c>
      <c r="AY16" s="301">
        <f t="shared" si="10"/>
        <v>2.3625703056463676E-3</v>
      </c>
      <c r="AZ16" s="299">
        <f t="shared" si="11"/>
        <v>4.1379380000000001</v>
      </c>
      <c r="BK16" s="294">
        <f t="shared" si="104"/>
        <v>13</v>
      </c>
      <c r="BL16" s="278">
        <f t="shared" si="12"/>
        <v>13</v>
      </c>
      <c r="BM16" s="17" t="s">
        <v>416</v>
      </c>
      <c r="BN16" s="301">
        <f t="shared" si="13"/>
        <v>2.3625703056463676E-3</v>
      </c>
      <c r="BO16" s="303">
        <f t="shared" si="14"/>
        <v>22135.329971510128</v>
      </c>
      <c r="BP16" s="301">
        <f t="shared" si="15"/>
        <v>1.1500835316288016E-3</v>
      </c>
      <c r="BQ16" s="303">
        <f t="shared" si="16"/>
        <v>10775.331598201223</v>
      </c>
      <c r="BR16" s="530">
        <f t="shared" si="17"/>
        <v>32910.661569711352</v>
      </c>
      <c r="BS16" s="299">
        <f t="shared" si="18"/>
        <v>1.279935</v>
      </c>
      <c r="BV16" s="20"/>
      <c r="BW16" s="235"/>
      <c r="BX16" s="235"/>
      <c r="BY16" s="235"/>
      <c r="BZ16" s="235"/>
      <c r="CA16" s="235"/>
      <c r="CB16" s="235"/>
      <c r="CC16" s="235"/>
      <c r="CD16" s="235"/>
      <c r="CH16" s="294">
        <f t="shared" si="105"/>
        <v>13</v>
      </c>
      <c r="CI16" s="95">
        <f t="shared" si="20"/>
        <v>13</v>
      </c>
      <c r="CJ16" s="17" t="s">
        <v>416</v>
      </c>
      <c r="CK16" s="301">
        <f t="shared" si="21"/>
        <v>1.1500835316288016E-3</v>
      </c>
      <c r="CL16" s="303">
        <f t="shared" si="22"/>
        <v>7218.7672224330363</v>
      </c>
      <c r="CM16" s="301">
        <f t="shared" si="23"/>
        <v>1.1491691299438589E-3</v>
      </c>
      <c r="CN16" s="303">
        <f t="shared" si="24"/>
        <v>24052.740605500447</v>
      </c>
      <c r="CO16" s="303">
        <f t="shared" si="25"/>
        <v>31271.507827933485</v>
      </c>
      <c r="CP16" s="301">
        <f t="shared" si="26"/>
        <v>1.1493800828513733E-3</v>
      </c>
      <c r="CQ16" s="299">
        <f t="shared" si="27"/>
        <v>1.216186</v>
      </c>
      <c r="DD16" s="20"/>
      <c r="DG16" s="773">
        <f t="shared" si="106"/>
        <v>13</v>
      </c>
      <c r="DH16" s="786">
        <f t="shared" si="29"/>
        <v>13</v>
      </c>
      <c r="DI16" s="17" t="s">
        <v>416</v>
      </c>
      <c r="DJ16" s="301">
        <f t="shared" si="30"/>
        <v>1.1493800828513733E-3</v>
      </c>
      <c r="DK16" s="303">
        <f t="shared" si="31"/>
        <v>365.09368829235149</v>
      </c>
      <c r="DL16" s="301">
        <f t="shared" si="32"/>
        <v>1.1491691299438589E-3</v>
      </c>
      <c r="DM16" s="303">
        <f t="shared" si="33"/>
        <v>4116.1770721249914</v>
      </c>
      <c r="DN16" s="301">
        <f t="shared" si="34"/>
        <v>1.1500835316288016E-3</v>
      </c>
      <c r="DO16" s="303">
        <f t="shared" si="35"/>
        <v>5021.547117776382</v>
      </c>
      <c r="DP16" s="303">
        <f t="shared" si="78"/>
        <v>9502.817878193724</v>
      </c>
      <c r="DQ16" s="301">
        <f t="shared" si="36"/>
        <v>1.1496602534837477E-3</v>
      </c>
      <c r="DR16" s="299">
        <f t="shared" si="37"/>
        <v>0.36957600000000002</v>
      </c>
      <c r="DV16" s="773">
        <f t="shared" si="107"/>
        <v>13</v>
      </c>
      <c r="DW16" s="786">
        <f t="shared" si="38"/>
        <v>13</v>
      </c>
      <c r="DX16" s="17" t="s">
        <v>416</v>
      </c>
      <c r="DY16" s="301">
        <f t="shared" si="39"/>
        <v>1.1491691299438589E-3</v>
      </c>
      <c r="DZ16" s="303">
        <f t="shared" si="40"/>
        <v>4986.2473263518086</v>
      </c>
      <c r="EA16" s="299">
        <f t="shared" si="41"/>
        <v>0.19392100000000001</v>
      </c>
      <c r="EM16" s="773">
        <f>+EM15+1</f>
        <v>13</v>
      </c>
      <c r="EN16" s="786">
        <f t="shared" si="42"/>
        <v>13</v>
      </c>
      <c r="EO16" s="17" t="s">
        <v>416</v>
      </c>
      <c r="EP16" s="301">
        <f t="shared" si="43"/>
        <v>1.7866365976115992E-3</v>
      </c>
      <c r="EQ16" s="303">
        <f t="shared" si="44"/>
        <v>14918.341946729824</v>
      </c>
      <c r="ER16" s="301">
        <f t="shared" si="45"/>
        <v>1.1493800828513733E-3</v>
      </c>
      <c r="ES16" s="303">
        <f t="shared" si="46"/>
        <v>1259.9760526371169</v>
      </c>
      <c r="ET16" s="301">
        <f t="shared" si="47"/>
        <v>1.1500835316288016E-3</v>
      </c>
      <c r="EU16" s="303">
        <f t="shared" si="48"/>
        <v>4918.9723388506018</v>
      </c>
      <c r="EV16" s="303">
        <f t="shared" si="49"/>
        <v>21097.290338217543</v>
      </c>
      <c r="EW16" s="301">
        <f t="shared" si="50"/>
        <v>1.5373405963022408E-3</v>
      </c>
      <c r="EX16" s="299">
        <f t="shared" si="51"/>
        <v>0.82049899999999998</v>
      </c>
      <c r="FH16" s="773">
        <f>+FH15+1</f>
        <v>13</v>
      </c>
      <c r="FI16" s="774">
        <f t="shared" si="52"/>
        <v>13</v>
      </c>
      <c r="FJ16" s="17" t="s">
        <v>416</v>
      </c>
      <c r="FK16" s="301">
        <f t="shared" si="53"/>
        <v>1.7866365976115992E-3</v>
      </c>
      <c r="FL16" s="303">
        <f t="shared" si="54"/>
        <v>39704.187576534277</v>
      </c>
      <c r="FM16" s="299">
        <f t="shared" si="55"/>
        <v>1.544143</v>
      </c>
      <c r="FQ16" s="294">
        <f t="shared" si="79"/>
        <v>13</v>
      </c>
      <c r="FR16" s="774">
        <v>13</v>
      </c>
      <c r="FS16" s="17" t="s">
        <v>416</v>
      </c>
      <c r="FT16" s="303">
        <f t="shared" si="80"/>
        <v>106397.79493495531</v>
      </c>
      <c r="FU16" s="303">
        <f t="shared" si="56"/>
        <v>32910.661569711352</v>
      </c>
      <c r="FV16" s="303">
        <f t="shared" si="57"/>
        <v>31271.507827933485</v>
      </c>
      <c r="FW16" s="303">
        <f t="shared" si="58"/>
        <v>9502.817878193724</v>
      </c>
      <c r="FX16" s="303">
        <f t="shared" si="59"/>
        <v>4986.2473263518086</v>
      </c>
      <c r="FY16" s="303">
        <f t="shared" si="60"/>
        <v>21097.290338217543</v>
      </c>
      <c r="FZ16" s="303">
        <f t="shared" si="61"/>
        <v>39704.187576534277</v>
      </c>
      <c r="GA16" s="303">
        <f t="shared" si="62"/>
        <v>245870.50745189749</v>
      </c>
      <c r="GB16" s="381">
        <f t="shared" si="63"/>
        <v>9.5621980000000004</v>
      </c>
      <c r="GF16" s="773">
        <f t="shared" si="81"/>
        <v>13</v>
      </c>
      <c r="GG16" s="774">
        <f t="shared" si="64"/>
        <v>13</v>
      </c>
      <c r="GH16" s="17" t="s">
        <v>416</v>
      </c>
      <c r="GI16" s="299">
        <f t="shared" si="82"/>
        <v>4.1379380000000001</v>
      </c>
      <c r="GJ16" s="299">
        <f t="shared" si="65"/>
        <v>1.279935</v>
      </c>
      <c r="GK16" s="299">
        <f t="shared" si="66"/>
        <v>1.216186</v>
      </c>
      <c r="GL16" s="299">
        <f t="shared" si="67"/>
        <v>0.36957600000000002</v>
      </c>
      <c r="GM16" s="299">
        <f t="shared" si="68"/>
        <v>0.19392100000000001</v>
      </c>
      <c r="GN16" s="299">
        <f t="shared" si="69"/>
        <v>0.82049899999999998</v>
      </c>
      <c r="GO16" s="299">
        <f t="shared" si="70"/>
        <v>1.544143</v>
      </c>
      <c r="GP16" s="299">
        <f t="shared" si="71"/>
        <v>9.5621980000000004</v>
      </c>
      <c r="GQ16" s="427">
        <v>2571276</v>
      </c>
      <c r="GR16" s="755"/>
      <c r="GU16" s="294">
        <f t="shared" si="83"/>
        <v>13</v>
      </c>
      <c r="GV16" s="774">
        <f>FR16</f>
        <v>13</v>
      </c>
      <c r="GW16" s="17" t="s">
        <v>416</v>
      </c>
      <c r="GX16" s="278" t="s">
        <v>389</v>
      </c>
      <c r="GY16" s="303">
        <f>GA16</f>
        <v>245870.50745189749</v>
      </c>
      <c r="GZ16" s="427">
        <f>VLOOKUP(GV16,$GG$4:$GQ$28,$GZ$35,FALSE)</f>
        <v>2571276</v>
      </c>
      <c r="HA16" s="299">
        <f t="shared" si="84"/>
        <v>9.5621980000000004</v>
      </c>
      <c r="HB16" s="303">
        <f t="shared" si="72"/>
        <v>245870.50224648003</v>
      </c>
      <c r="HC16" s="788">
        <f t="shared" si="73"/>
        <v>-5.2054174593649805E-3</v>
      </c>
      <c r="HD16" s="789"/>
      <c r="HG16" s="789"/>
      <c r="HH16" s="789"/>
      <c r="HI16" s="789"/>
      <c r="HJ16" s="789"/>
      <c r="HK16" s="789"/>
      <c r="HL16" s="789"/>
      <c r="HM16" s="789"/>
      <c r="HP16" s="773">
        <f t="shared" si="110"/>
        <v>13</v>
      </c>
      <c r="HQ16" s="792">
        <f>FR16</f>
        <v>13</v>
      </c>
      <c r="HR16" s="17" t="s">
        <v>416</v>
      </c>
      <c r="HS16" s="427">
        <v>2571276</v>
      </c>
      <c r="HT16" s="793">
        <f t="shared" si="85"/>
        <v>9.5621980000000004</v>
      </c>
      <c r="HU16" s="793">
        <v>8.1720000000000006</v>
      </c>
      <c r="HV16" s="783">
        <f t="shared" si="86"/>
        <v>0.17011722956436603</v>
      </c>
      <c r="HW16" s="793">
        <f t="shared" si="87"/>
        <v>1.3901979999999998</v>
      </c>
      <c r="HX16" s="785">
        <v>10</v>
      </c>
      <c r="IO16" s="773">
        <f t="shared" si="111"/>
        <v>13</v>
      </c>
      <c r="IP16" s="792">
        <v>13</v>
      </c>
      <c r="IQ16" s="17" t="s">
        <v>416</v>
      </c>
      <c r="IR16" s="799">
        <f t="shared" si="88"/>
        <v>245870.50745189749</v>
      </c>
      <c r="IS16" s="800">
        <f t="shared" si="88"/>
        <v>2571276</v>
      </c>
      <c r="IT16" s="801">
        <f t="shared" si="88"/>
        <v>9.5621980000000004</v>
      </c>
      <c r="IU16" s="427">
        <v>0</v>
      </c>
      <c r="IV16" s="427">
        <f t="shared" si="90"/>
        <v>2571276</v>
      </c>
      <c r="IW16" s="799">
        <f t="shared" si="91"/>
        <v>0</v>
      </c>
      <c r="IX16" s="799">
        <f t="shared" si="92"/>
        <v>245870.50745189749</v>
      </c>
      <c r="IY16" s="670">
        <f t="shared" si="93"/>
        <v>9.5621982024449146</v>
      </c>
      <c r="IZ16" s="670">
        <f>IY16</f>
        <v>9.5621982024449146</v>
      </c>
      <c r="JA16" s="799">
        <f t="shared" si="95"/>
        <v>245870.50745189749</v>
      </c>
      <c r="JB16" s="381">
        <f t="shared" si="96"/>
        <v>-2.0244491416576693E-7</v>
      </c>
      <c r="JF16" s="773">
        <f t="shared" si="112"/>
        <v>13</v>
      </c>
      <c r="JG16" s="792">
        <f>FR16</f>
        <v>13</v>
      </c>
      <c r="JH16" s="17" t="s">
        <v>416</v>
      </c>
      <c r="JI16" s="427">
        <v>2571276</v>
      </c>
      <c r="JJ16" s="793">
        <f t="shared" si="97"/>
        <v>9.5621982024449146</v>
      </c>
      <c r="JK16" s="793">
        <v>8.1720000000000006</v>
      </c>
      <c r="JL16" s="783">
        <f t="shared" si="114"/>
        <v>0.17011725433736102</v>
      </c>
      <c r="JM16" s="793">
        <f t="shared" si="99"/>
        <v>1.390198202444914</v>
      </c>
      <c r="JN16" s="785">
        <v>10</v>
      </c>
    </row>
    <row r="17" spans="2:275" x14ac:dyDescent="0.3">
      <c r="I17" s="294">
        <f t="shared" si="100"/>
        <v>14</v>
      </c>
      <c r="J17" s="772">
        <f t="shared" si="1"/>
        <v>14</v>
      </c>
      <c r="K17" s="17" t="s">
        <v>417</v>
      </c>
      <c r="L17" s="427">
        <v>402215</v>
      </c>
      <c r="M17" s="301">
        <f t="shared" si="2"/>
        <v>1.799032261313365E-4</v>
      </c>
      <c r="N17" s="427">
        <v>554.4</v>
      </c>
      <c r="O17" s="427">
        <f>IFERROR(L17/N17,0)</f>
        <v>725.4960317460318</v>
      </c>
      <c r="P17" s="301">
        <f t="shared" si="3"/>
        <v>3.9337132427262503E-4</v>
      </c>
      <c r="Q17" s="278" t="s">
        <v>389</v>
      </c>
      <c r="U17" s="773">
        <f t="shared" si="101"/>
        <v>14</v>
      </c>
      <c r="V17" s="774">
        <f t="shared" si="4"/>
        <v>14</v>
      </c>
      <c r="W17" s="17" t="s">
        <v>417</v>
      </c>
      <c r="X17" s="303">
        <f t="shared" si="75"/>
        <v>27767.899889757897</v>
      </c>
      <c r="Y17" s="301">
        <f t="shared" si="5"/>
        <v>2.6806833269690312E-4</v>
      </c>
      <c r="AC17" s="773">
        <f>+AC16+1</f>
        <v>14</v>
      </c>
      <c r="AD17" s="95">
        <v>14</v>
      </c>
      <c r="AE17" s="305" t="s">
        <v>417</v>
      </c>
      <c r="AF17" s="330">
        <v>4.45</v>
      </c>
      <c r="AP17" s="773">
        <f t="shared" si="77"/>
        <v>14</v>
      </c>
      <c r="AQ17" s="779">
        <f t="shared" si="6"/>
        <v>14</v>
      </c>
      <c r="AR17" s="17" t="s">
        <v>417</v>
      </c>
      <c r="AS17" s="17">
        <f t="shared" si="7"/>
        <v>4.45</v>
      </c>
      <c r="AT17" s="780">
        <v>402215</v>
      </c>
      <c r="AU17" s="780">
        <f t="shared" si="103"/>
        <v>497.18243055555558</v>
      </c>
      <c r="AV17" s="781">
        <f t="shared" si="8"/>
        <v>489.06264097367551</v>
      </c>
      <c r="AW17" s="782">
        <f t="shared" si="9"/>
        <v>21.511220758941374</v>
      </c>
      <c r="AX17" s="303">
        <f t="shared" si="113"/>
        <v>10520.334434935621</v>
      </c>
      <c r="AY17" s="301">
        <f t="shared" si="10"/>
        <v>2.3360474487880699E-4</v>
      </c>
      <c r="AZ17" s="299">
        <f t="shared" si="11"/>
        <v>2.6156000000000001</v>
      </c>
      <c r="BK17" s="294">
        <f t="shared" si="104"/>
        <v>14</v>
      </c>
      <c r="BL17" s="278">
        <f t="shared" si="12"/>
        <v>14</v>
      </c>
      <c r="BM17" s="17" t="s">
        <v>417</v>
      </c>
      <c r="BN17" s="301">
        <f t="shared" si="13"/>
        <v>2.3360474487880699E-4</v>
      </c>
      <c r="BO17" s="303">
        <f t="shared" si="14"/>
        <v>2188.6832736552742</v>
      </c>
      <c r="BP17" s="301">
        <f t="shared" si="15"/>
        <v>1.799032261313365E-4</v>
      </c>
      <c r="BQ17" s="303">
        <f t="shared" si="16"/>
        <v>1685.5444529371816</v>
      </c>
      <c r="BR17" s="530">
        <f t="shared" si="17"/>
        <v>3874.2277265924558</v>
      </c>
      <c r="BS17" s="299">
        <f t="shared" si="18"/>
        <v>0.96322300000000005</v>
      </c>
      <c r="BV17" s="20"/>
      <c r="BW17" s="235"/>
      <c r="BX17" s="235"/>
      <c r="BY17" s="235"/>
      <c r="BZ17" s="235"/>
      <c r="CA17" s="235"/>
      <c r="CB17" s="235"/>
      <c r="CC17" s="235"/>
      <c r="CD17" s="235"/>
      <c r="CH17" s="294">
        <f t="shared" si="105"/>
        <v>14</v>
      </c>
      <c r="CI17" s="95">
        <f t="shared" si="20"/>
        <v>14</v>
      </c>
      <c r="CJ17" s="17" t="s">
        <v>417</v>
      </c>
      <c r="CK17" s="301">
        <f t="shared" si="21"/>
        <v>1.799032261313365E-4</v>
      </c>
      <c r="CL17" s="303">
        <f t="shared" si="22"/>
        <v>1129.2045110563406</v>
      </c>
      <c r="CM17" s="301">
        <f t="shared" si="23"/>
        <v>3.9337132427262503E-4</v>
      </c>
      <c r="CN17" s="303">
        <f t="shared" si="24"/>
        <v>8233.4777169256959</v>
      </c>
      <c r="CO17" s="303">
        <f t="shared" si="25"/>
        <v>9362.6822279820371</v>
      </c>
      <c r="CP17" s="301">
        <f t="shared" si="26"/>
        <v>3.4412413159356803E-4</v>
      </c>
      <c r="CQ17" s="299">
        <f t="shared" si="27"/>
        <v>2.3277800000000002</v>
      </c>
      <c r="DD17" s="20"/>
      <c r="DG17" s="773">
        <f t="shared" si="106"/>
        <v>14</v>
      </c>
      <c r="DH17" s="786">
        <f t="shared" si="29"/>
        <v>14</v>
      </c>
      <c r="DI17" s="17" t="s">
        <v>417</v>
      </c>
      <c r="DJ17" s="301">
        <f t="shared" si="30"/>
        <v>3.4412413159356803E-4</v>
      </c>
      <c r="DK17" s="303">
        <f t="shared" si="31"/>
        <v>109.30896603168692</v>
      </c>
      <c r="DL17" s="301">
        <f t="shared" si="32"/>
        <v>3.9337132427262503E-4</v>
      </c>
      <c r="DM17" s="303">
        <f t="shared" si="33"/>
        <v>1409.0058491925618</v>
      </c>
      <c r="DN17" s="301">
        <f t="shared" si="34"/>
        <v>1.799032261313365E-4</v>
      </c>
      <c r="DO17" s="303">
        <f t="shared" si="35"/>
        <v>785.50166297839189</v>
      </c>
      <c r="DP17" s="303">
        <f t="shared" si="78"/>
        <v>2303.8164782026406</v>
      </c>
      <c r="DQ17" s="301">
        <f t="shared" si="36"/>
        <v>2.787179834718588E-4</v>
      </c>
      <c r="DR17" s="299">
        <f t="shared" si="37"/>
        <v>0.57278200000000001</v>
      </c>
      <c r="DV17" s="773">
        <f t="shared" si="107"/>
        <v>14</v>
      </c>
      <c r="DW17" s="786">
        <f t="shared" si="38"/>
        <v>14</v>
      </c>
      <c r="DX17" s="17" t="s">
        <v>417</v>
      </c>
      <c r="DY17" s="301">
        <f t="shared" si="39"/>
        <v>3.9337132427262503E-4</v>
      </c>
      <c r="DZ17" s="303">
        <f t="shared" si="40"/>
        <v>1706.8390220451454</v>
      </c>
      <c r="EA17" s="299">
        <f t="shared" si="41"/>
        <v>0.42436000000000001</v>
      </c>
      <c r="EM17" s="773">
        <f t="shared" si="108"/>
        <v>14</v>
      </c>
      <c r="EN17" s="786">
        <f t="shared" si="42"/>
        <v>14</v>
      </c>
      <c r="EO17" s="17" t="s">
        <v>417</v>
      </c>
      <c r="EP17" s="301">
        <f t="shared" si="43"/>
        <v>2.6806833269690312E-4</v>
      </c>
      <c r="EQ17" s="303">
        <f t="shared" si="44"/>
        <v>2238.3595285175707</v>
      </c>
      <c r="ER17" s="301">
        <f t="shared" si="45"/>
        <v>3.4412413159356803E-4</v>
      </c>
      <c r="ES17" s="303">
        <f t="shared" si="46"/>
        <v>377.23653942810409</v>
      </c>
      <c r="ET17" s="301">
        <f t="shared" si="47"/>
        <v>1.799032261313365E-4</v>
      </c>
      <c r="EU17" s="303">
        <f t="shared" si="48"/>
        <v>769.45627745554907</v>
      </c>
      <c r="EV17" s="303">
        <f t="shared" si="49"/>
        <v>3385.0523454012236</v>
      </c>
      <c r="EW17" s="301">
        <f t="shared" si="50"/>
        <v>2.4666572378569666E-4</v>
      </c>
      <c r="EX17" s="299">
        <f t="shared" si="51"/>
        <v>0.84160299999999999</v>
      </c>
      <c r="FH17" s="773">
        <f t="shared" si="109"/>
        <v>14</v>
      </c>
      <c r="FI17" s="774">
        <f t="shared" si="52"/>
        <v>14</v>
      </c>
      <c r="FJ17" s="17" t="s">
        <v>417</v>
      </c>
      <c r="FK17" s="301">
        <f t="shared" si="53"/>
        <v>2.6806833269690312E-4</v>
      </c>
      <c r="FL17" s="303">
        <f t="shared" si="54"/>
        <v>5957.2469180105973</v>
      </c>
      <c r="FM17" s="299">
        <f t="shared" si="55"/>
        <v>1.4811099999999999</v>
      </c>
      <c r="FQ17" s="294">
        <f t="shared" si="79"/>
        <v>14</v>
      </c>
      <c r="FR17" s="774">
        <v>14</v>
      </c>
      <c r="FS17" s="17" t="s">
        <v>417</v>
      </c>
      <c r="FT17" s="303">
        <f t="shared" si="80"/>
        <v>10520.334434935621</v>
      </c>
      <c r="FU17" s="303">
        <f t="shared" si="56"/>
        <v>3874.2277265924558</v>
      </c>
      <c r="FV17" s="303">
        <f t="shared" si="57"/>
        <v>9362.6822279820371</v>
      </c>
      <c r="FW17" s="303">
        <f t="shared" si="58"/>
        <v>2303.8164782026406</v>
      </c>
      <c r="FX17" s="303">
        <f t="shared" si="59"/>
        <v>1706.8390220451454</v>
      </c>
      <c r="FY17" s="303">
        <f t="shared" si="60"/>
        <v>3385.0523454012236</v>
      </c>
      <c r="FZ17" s="303">
        <f t="shared" si="61"/>
        <v>5957.2469180105973</v>
      </c>
      <c r="GA17" s="303">
        <f t="shared" si="62"/>
        <v>37110.19915316972</v>
      </c>
      <c r="GB17" s="381">
        <f t="shared" si="63"/>
        <v>9.2264579999999992</v>
      </c>
      <c r="GF17" s="773">
        <f t="shared" si="81"/>
        <v>14</v>
      </c>
      <c r="GG17" s="774">
        <f t="shared" si="64"/>
        <v>14</v>
      </c>
      <c r="GH17" s="17" t="s">
        <v>417</v>
      </c>
      <c r="GI17" s="299">
        <f t="shared" si="82"/>
        <v>2.6156000000000001</v>
      </c>
      <c r="GJ17" s="299">
        <f t="shared" si="65"/>
        <v>0.96322300000000005</v>
      </c>
      <c r="GK17" s="299">
        <f t="shared" si="66"/>
        <v>2.3277800000000002</v>
      </c>
      <c r="GL17" s="299">
        <f t="shared" si="67"/>
        <v>0.57278200000000001</v>
      </c>
      <c r="GM17" s="299">
        <f t="shared" si="68"/>
        <v>0.42436000000000001</v>
      </c>
      <c r="GN17" s="299">
        <f t="shared" si="69"/>
        <v>0.84160299999999999</v>
      </c>
      <c r="GO17" s="299">
        <f t="shared" si="70"/>
        <v>1.4811099999999999</v>
      </c>
      <c r="GP17" s="299">
        <f t="shared" si="71"/>
        <v>9.2264579999999992</v>
      </c>
      <c r="GQ17" s="427">
        <v>402215</v>
      </c>
      <c r="GR17" s="755"/>
      <c r="GU17" s="294">
        <f t="shared" si="83"/>
        <v>14</v>
      </c>
      <c r="GV17" s="774">
        <f>FR17</f>
        <v>14</v>
      </c>
      <c r="GW17" s="17" t="s">
        <v>417</v>
      </c>
      <c r="GX17" s="278" t="s">
        <v>389</v>
      </c>
      <c r="GY17" s="303">
        <f>GA17</f>
        <v>37110.19915316972</v>
      </c>
      <c r="GZ17" s="427">
        <f>VLOOKUP(GV17,$GG$4:$GQ$28,$GZ$35,FALSE)</f>
        <v>402215</v>
      </c>
      <c r="HA17" s="299">
        <f t="shared" si="84"/>
        <v>9.2264579999999992</v>
      </c>
      <c r="HB17" s="303">
        <f t="shared" si="72"/>
        <v>37110.198044699995</v>
      </c>
      <c r="HC17" s="788">
        <f t="shared" si="73"/>
        <v>-1.1084697252954356E-3</v>
      </c>
      <c r="HD17" s="789"/>
      <c r="HG17" s="789"/>
      <c r="HH17" s="789"/>
      <c r="HI17" s="789"/>
      <c r="HJ17" s="789"/>
      <c r="HK17" s="789"/>
      <c r="HL17" s="789"/>
      <c r="HM17" s="789"/>
      <c r="HP17" s="773">
        <f>+HP16+1</f>
        <v>14</v>
      </c>
      <c r="HQ17" s="792">
        <f>FR17</f>
        <v>14</v>
      </c>
      <c r="HR17" s="17" t="s">
        <v>417</v>
      </c>
      <c r="HS17" s="427">
        <v>402215</v>
      </c>
      <c r="HT17" s="793">
        <f t="shared" si="85"/>
        <v>9.2264579999999992</v>
      </c>
      <c r="HU17" s="793">
        <v>10.1</v>
      </c>
      <c r="HV17" s="783">
        <f t="shared" si="86"/>
        <v>-8.6489306930693122E-2</v>
      </c>
      <c r="HW17" s="793">
        <f t="shared" si="87"/>
        <v>-0.87354200000000048</v>
      </c>
      <c r="HX17" s="785">
        <v>10</v>
      </c>
      <c r="IO17" s="773">
        <f t="shared" si="111"/>
        <v>14</v>
      </c>
      <c r="IP17" s="792">
        <v>14</v>
      </c>
      <c r="IQ17" s="17" t="s">
        <v>417</v>
      </c>
      <c r="IR17" s="799">
        <f t="shared" si="88"/>
        <v>37110.19915316972</v>
      </c>
      <c r="IS17" s="800">
        <f t="shared" si="88"/>
        <v>402215</v>
      </c>
      <c r="IT17" s="801">
        <f t="shared" si="88"/>
        <v>9.2264579999999992</v>
      </c>
      <c r="IU17" s="427">
        <v>0</v>
      </c>
      <c r="IV17" s="427">
        <f t="shared" si="90"/>
        <v>402215</v>
      </c>
      <c r="IW17" s="799">
        <f t="shared" si="91"/>
        <v>0</v>
      </c>
      <c r="IX17" s="799">
        <f t="shared" si="92"/>
        <v>37110.19915316972</v>
      </c>
      <c r="IY17" s="670">
        <f>IT17</f>
        <v>9.2264579999999992</v>
      </c>
      <c r="IZ17" s="670">
        <f t="shared" ref="IZ17" si="115">IY17</f>
        <v>9.2264579999999992</v>
      </c>
      <c r="JA17" s="799">
        <f t="shared" si="95"/>
        <v>37110.198044699995</v>
      </c>
      <c r="JB17" s="381">
        <f t="shared" si="96"/>
        <v>0</v>
      </c>
      <c r="JF17" s="773">
        <f>+JF16+1</f>
        <v>14</v>
      </c>
      <c r="JG17" s="792">
        <f>FR17</f>
        <v>14</v>
      </c>
      <c r="JH17" s="17" t="s">
        <v>417</v>
      </c>
      <c r="JI17" s="427">
        <v>402215</v>
      </c>
      <c r="JJ17" s="793">
        <f t="shared" si="97"/>
        <v>9.2264579999999992</v>
      </c>
      <c r="JK17" s="793">
        <v>10.1</v>
      </c>
      <c r="JL17" s="783">
        <f t="shared" si="114"/>
        <v>-8.6489306930693122E-2</v>
      </c>
      <c r="JM17" s="793">
        <f t="shared" si="99"/>
        <v>-0.87354200000000048</v>
      </c>
      <c r="JN17" s="785">
        <v>10</v>
      </c>
    </row>
    <row r="18" spans="2:275" x14ac:dyDescent="0.3">
      <c r="I18" s="294">
        <f t="shared" si="100"/>
        <v>15</v>
      </c>
      <c r="J18" s="772">
        <f t="shared" si="1"/>
        <v>15</v>
      </c>
      <c r="K18" s="17" t="s">
        <v>418</v>
      </c>
      <c r="L18" s="427">
        <v>99383388</v>
      </c>
      <c r="M18" s="301">
        <f t="shared" si="2"/>
        <v>4.4452325559868118E-2</v>
      </c>
      <c r="N18" s="427">
        <v>1627</v>
      </c>
      <c r="O18" s="427">
        <f t="shared" si="74"/>
        <v>61083.827904118007</v>
      </c>
      <c r="P18" s="301">
        <f t="shared" si="3"/>
        <v>3.3120272507149322E-2</v>
      </c>
      <c r="Q18" s="278" t="s">
        <v>385</v>
      </c>
      <c r="U18" s="773">
        <f t="shared" si="101"/>
        <v>15</v>
      </c>
      <c r="V18" s="774">
        <f t="shared" si="4"/>
        <v>15</v>
      </c>
      <c r="W18" s="17" t="s">
        <v>418</v>
      </c>
      <c r="X18" s="303">
        <f t="shared" si="75"/>
        <v>5469583.6555138826</v>
      </c>
      <c r="Y18" s="301">
        <f t="shared" si="5"/>
        <v>5.2802775035235935E-2</v>
      </c>
      <c r="AC18" s="773">
        <f t="shared" si="102"/>
        <v>15</v>
      </c>
      <c r="AD18" s="95">
        <v>15</v>
      </c>
      <c r="AE18" s="305" t="s">
        <v>418</v>
      </c>
      <c r="AF18" s="330">
        <v>5.12</v>
      </c>
      <c r="AP18" s="773">
        <f t="shared" si="77"/>
        <v>15</v>
      </c>
      <c r="AQ18" s="779">
        <f t="shared" si="6"/>
        <v>15</v>
      </c>
      <c r="AR18" s="17" t="s">
        <v>418</v>
      </c>
      <c r="AS18" s="17">
        <f t="shared" si="7"/>
        <v>5.12</v>
      </c>
      <c r="AT18" s="780">
        <v>99383388</v>
      </c>
      <c r="AU18" s="780">
        <f t="shared" si="103"/>
        <v>141345.26293333335</v>
      </c>
      <c r="AV18" s="781">
        <f t="shared" si="8"/>
        <v>139036.86721602746</v>
      </c>
      <c r="AW18" s="782">
        <f t="shared" si="9"/>
        <v>21.511220758941374</v>
      </c>
      <c r="AX18" s="303">
        <f>AV18*AW18</f>
        <v>2990852.7443155851</v>
      </c>
      <c r="AY18" s="301">
        <f t="shared" si="10"/>
        <v>6.6412089523102458E-2</v>
      </c>
      <c r="AZ18" s="299">
        <f t="shared" si="11"/>
        <v>3.0094089999999998</v>
      </c>
      <c r="BK18" s="294">
        <f t="shared" si="104"/>
        <v>15</v>
      </c>
      <c r="BL18" s="278">
        <f t="shared" si="12"/>
        <v>15</v>
      </c>
      <c r="BM18" s="17" t="s">
        <v>418</v>
      </c>
      <c r="BN18" s="301">
        <f t="shared" si="13"/>
        <v>6.6412089523102458E-2</v>
      </c>
      <c r="BO18" s="303">
        <f t="shared" si="14"/>
        <v>622226.35753019701</v>
      </c>
      <c r="BP18" s="301">
        <f t="shared" si="15"/>
        <v>4.4452325559868118E-2</v>
      </c>
      <c r="BQ18" s="303">
        <f t="shared" si="16"/>
        <v>416481.52942457062</v>
      </c>
      <c r="BR18" s="530">
        <f t="shared" si="17"/>
        <v>1038707.8869547676</v>
      </c>
      <c r="BS18" s="299">
        <f t="shared" si="18"/>
        <v>1.0451520000000001</v>
      </c>
      <c r="BV18" s="20"/>
      <c r="BW18" s="235"/>
      <c r="BX18" s="235"/>
      <c r="BY18" s="235"/>
      <c r="BZ18" s="235"/>
      <c r="CA18" s="235"/>
      <c r="CB18" s="235"/>
      <c r="CC18" s="235"/>
      <c r="CD18" s="235"/>
      <c r="CH18" s="294">
        <f t="shared" si="105"/>
        <v>15</v>
      </c>
      <c r="CI18" s="95">
        <f t="shared" si="20"/>
        <v>15</v>
      </c>
      <c r="CJ18" s="17" t="s">
        <v>418</v>
      </c>
      <c r="CK18" s="301">
        <f t="shared" si="21"/>
        <v>4.4452325559868118E-2</v>
      </c>
      <c r="CL18" s="303">
        <f t="shared" si="22"/>
        <v>279015.37748135353</v>
      </c>
      <c r="CM18" s="301">
        <f t="shared" si="23"/>
        <v>3.3120272507149322E-2</v>
      </c>
      <c r="CN18" s="303">
        <f t="shared" si="24"/>
        <v>693225.48147187789</v>
      </c>
      <c r="CO18" s="303">
        <f t="shared" si="25"/>
        <v>972240.85895323148</v>
      </c>
      <c r="CP18" s="301">
        <f t="shared" si="26"/>
        <v>3.5734582584372988E-2</v>
      </c>
      <c r="CQ18" s="299">
        <f t="shared" si="27"/>
        <v>0.97827299999999995</v>
      </c>
      <c r="DD18" s="20"/>
      <c r="DG18" s="773">
        <f t="shared" si="106"/>
        <v>15</v>
      </c>
      <c r="DH18" s="786">
        <f t="shared" si="29"/>
        <v>15</v>
      </c>
      <c r="DI18" s="17" t="s">
        <v>418</v>
      </c>
      <c r="DJ18" s="301">
        <f t="shared" si="30"/>
        <v>3.5734582584372988E-2</v>
      </c>
      <c r="DK18" s="303">
        <f t="shared" si="31"/>
        <v>11350.875789452328</v>
      </c>
      <c r="DL18" s="301">
        <f t="shared" si="32"/>
        <v>3.3120272507149322E-2</v>
      </c>
      <c r="DM18" s="303">
        <f t="shared" si="33"/>
        <v>118632.5865916011</v>
      </c>
      <c r="DN18" s="301">
        <f t="shared" si="34"/>
        <v>4.4452325559868118E-2</v>
      </c>
      <c r="DO18" s="303">
        <f t="shared" si="35"/>
        <v>194089.76926874122</v>
      </c>
      <c r="DP18" s="303">
        <f t="shared" si="78"/>
        <v>324073.23164979462</v>
      </c>
      <c r="DQ18" s="301">
        <f t="shared" si="36"/>
        <v>3.9206698310061509E-2</v>
      </c>
      <c r="DR18" s="299">
        <f t="shared" si="37"/>
        <v>0.32608399999999998</v>
      </c>
      <c r="DV18" s="773">
        <f t="shared" si="107"/>
        <v>15</v>
      </c>
      <c r="DW18" s="786">
        <f t="shared" si="38"/>
        <v>15</v>
      </c>
      <c r="DX18" s="17" t="s">
        <v>418</v>
      </c>
      <c r="DY18" s="301">
        <f t="shared" si="39"/>
        <v>3.3120272507149322E-2</v>
      </c>
      <c r="DZ18" s="303">
        <f t="shared" si="40"/>
        <v>143708.93364050303</v>
      </c>
      <c r="EA18" s="299">
        <f t="shared" si="41"/>
        <v>0.14460100000000001</v>
      </c>
      <c r="EM18" s="773">
        <f t="shared" si="108"/>
        <v>15</v>
      </c>
      <c r="EN18" s="786">
        <f t="shared" si="42"/>
        <v>15</v>
      </c>
      <c r="EO18" s="17" t="s">
        <v>418</v>
      </c>
      <c r="EP18" s="301">
        <f t="shared" si="43"/>
        <v>5.2802775035235935E-2</v>
      </c>
      <c r="EQ18" s="303">
        <f t="shared" si="44"/>
        <v>440900.99506802164</v>
      </c>
      <c r="ER18" s="301">
        <f t="shared" si="45"/>
        <v>3.5734582584372988E-2</v>
      </c>
      <c r="ES18" s="303">
        <f t="shared" si="46"/>
        <v>39173.045521718428</v>
      </c>
      <c r="ET18" s="301">
        <f t="shared" si="47"/>
        <v>4.4452325559868118E-2</v>
      </c>
      <c r="EU18" s="303">
        <f t="shared" si="48"/>
        <v>190125.11162288947</v>
      </c>
      <c r="EV18" s="303">
        <f t="shared" si="49"/>
        <v>670199.15221262956</v>
      </c>
      <c r="EW18" s="301">
        <f t="shared" si="50"/>
        <v>4.8836810215262441E-2</v>
      </c>
      <c r="EX18" s="299">
        <f t="shared" si="51"/>
        <v>0.67435699999999998</v>
      </c>
      <c r="FH18" s="773">
        <f t="shared" si="109"/>
        <v>15</v>
      </c>
      <c r="FI18" s="774">
        <f t="shared" si="52"/>
        <v>15</v>
      </c>
      <c r="FJ18" s="17" t="s">
        <v>418</v>
      </c>
      <c r="FK18" s="301">
        <f t="shared" si="53"/>
        <v>5.2802775035235935E-2</v>
      </c>
      <c r="FL18" s="303">
        <f t="shared" si="54"/>
        <v>1173429.0495130168</v>
      </c>
      <c r="FM18" s="299">
        <f t="shared" si="55"/>
        <v>1.180709</v>
      </c>
      <c r="FQ18" s="294">
        <f t="shared" si="79"/>
        <v>15</v>
      </c>
      <c r="FR18" s="774">
        <v>15</v>
      </c>
      <c r="FS18" s="17" t="s">
        <v>418</v>
      </c>
      <c r="FT18" s="303">
        <f t="shared" si="80"/>
        <v>2990852.7443155851</v>
      </c>
      <c r="FU18" s="303">
        <f t="shared" si="56"/>
        <v>1038707.8869547676</v>
      </c>
      <c r="FV18" s="303">
        <f t="shared" si="57"/>
        <v>972240.85895323148</v>
      </c>
      <c r="FW18" s="303">
        <f t="shared" si="58"/>
        <v>324073.23164979462</v>
      </c>
      <c r="FX18" s="303">
        <f t="shared" si="59"/>
        <v>143708.93364050303</v>
      </c>
      <c r="FY18" s="303">
        <f t="shared" si="60"/>
        <v>670199.15221262956</v>
      </c>
      <c r="FZ18" s="303">
        <f t="shared" si="61"/>
        <v>1173429.0495130168</v>
      </c>
      <c r="GA18" s="303">
        <f t="shared" si="62"/>
        <v>7313211.8572395286</v>
      </c>
      <c r="GB18" s="381">
        <f t="shared" si="63"/>
        <v>7.3585859999999998</v>
      </c>
      <c r="GF18" s="773">
        <f t="shared" si="81"/>
        <v>15</v>
      </c>
      <c r="GG18" s="774">
        <f t="shared" si="64"/>
        <v>15</v>
      </c>
      <c r="GH18" s="17" t="s">
        <v>418</v>
      </c>
      <c r="GI18" s="299">
        <f t="shared" si="82"/>
        <v>3.0094089999999998</v>
      </c>
      <c r="GJ18" s="299">
        <f t="shared" si="65"/>
        <v>1.0451520000000001</v>
      </c>
      <c r="GK18" s="299">
        <f t="shared" si="66"/>
        <v>0.97827299999999995</v>
      </c>
      <c r="GL18" s="299">
        <f t="shared" si="67"/>
        <v>0.32608399999999998</v>
      </c>
      <c r="GM18" s="299">
        <f t="shared" si="68"/>
        <v>0.14460100000000001</v>
      </c>
      <c r="GN18" s="299">
        <f t="shared" si="69"/>
        <v>0.67435699999999998</v>
      </c>
      <c r="GO18" s="299">
        <f t="shared" si="70"/>
        <v>1.180709</v>
      </c>
      <c r="GP18" s="299">
        <f t="shared" si="71"/>
        <v>7.3585859999999998</v>
      </c>
      <c r="GQ18" s="427">
        <v>99383388</v>
      </c>
      <c r="GR18" s="755"/>
      <c r="GU18" s="294">
        <f t="shared" si="83"/>
        <v>15</v>
      </c>
      <c r="GV18" s="774">
        <f>FR18</f>
        <v>15</v>
      </c>
      <c r="GW18" s="17" t="s">
        <v>418</v>
      </c>
      <c r="GX18" s="278" t="s">
        <v>385</v>
      </c>
      <c r="GY18" s="303">
        <f>GA18</f>
        <v>7313211.8572395286</v>
      </c>
      <c r="GZ18" s="427">
        <f>VLOOKUP(GV18,$GG$4:$GQ$28,$GZ$35,FALSE)</f>
        <v>99383388</v>
      </c>
      <c r="HA18" s="299">
        <f t="shared" si="84"/>
        <v>7.3585859999999998</v>
      </c>
      <c r="HB18" s="303">
        <f t="shared" si="72"/>
        <v>7313212.07569368</v>
      </c>
      <c r="HC18" s="788">
        <f t="shared" si="73"/>
        <v>0.21845415141433477</v>
      </c>
      <c r="HD18" s="789"/>
      <c r="HG18" s="789"/>
      <c r="HH18" s="789"/>
      <c r="HI18" s="789"/>
      <c r="HJ18" s="789"/>
      <c r="HK18" s="789"/>
      <c r="HL18" s="789"/>
      <c r="HM18" s="789"/>
      <c r="HP18" s="773">
        <f t="shared" si="110"/>
        <v>15</v>
      </c>
      <c r="HQ18" s="792">
        <f>FR18</f>
        <v>15</v>
      </c>
      <c r="HR18" s="17" t="s">
        <v>418</v>
      </c>
      <c r="HS18" s="427">
        <v>99383388</v>
      </c>
      <c r="HT18" s="793">
        <f t="shared" si="85"/>
        <v>7.3585859999999998</v>
      </c>
      <c r="HU18" s="793">
        <v>6.1879999999999997</v>
      </c>
      <c r="HV18" s="783">
        <f t="shared" si="86"/>
        <v>0.18917032967032976</v>
      </c>
      <c r="HW18" s="793">
        <f t="shared" si="87"/>
        <v>1.1705860000000001</v>
      </c>
      <c r="HX18" s="785">
        <v>10</v>
      </c>
      <c r="IO18" s="773">
        <f t="shared" si="111"/>
        <v>15</v>
      </c>
      <c r="IP18" s="792">
        <v>15</v>
      </c>
      <c r="IQ18" s="17" t="s">
        <v>418</v>
      </c>
      <c r="IR18" s="799">
        <f t="shared" si="88"/>
        <v>7313211.8572395286</v>
      </c>
      <c r="IS18" s="800">
        <f t="shared" si="88"/>
        <v>99383388</v>
      </c>
      <c r="IT18" s="801">
        <f t="shared" si="88"/>
        <v>7.3585859999999998</v>
      </c>
      <c r="IU18" s="427">
        <f t="shared" si="89"/>
        <v>14227113.607082995</v>
      </c>
      <c r="IV18" s="427">
        <f t="shared" si="90"/>
        <v>85156274.392917007</v>
      </c>
      <c r="IW18" s="799">
        <f t="shared" si="91"/>
        <v>213406.7041062449</v>
      </c>
      <c r="IX18" s="799">
        <f>IR18-IW18</f>
        <v>7099805.1531332834</v>
      </c>
      <c r="IY18" s="670">
        <f t="shared" si="93"/>
        <v>7.1438550204519933</v>
      </c>
      <c r="IZ18" s="670">
        <f>IY18+1.5</f>
        <v>8.6438550204519942</v>
      </c>
      <c r="JA18" s="799">
        <f>(IY18*IV18+IZ18*IU18)/100</f>
        <v>7313211.8572395286</v>
      </c>
      <c r="JB18" s="381">
        <f>IT18-IY18</f>
        <v>0.21473097954800657</v>
      </c>
      <c r="JF18" s="773">
        <f t="shared" si="112"/>
        <v>15</v>
      </c>
      <c r="JG18" s="792">
        <f>FR18</f>
        <v>15</v>
      </c>
      <c r="JH18" s="17" t="s">
        <v>418</v>
      </c>
      <c r="JI18" s="427">
        <v>99383388</v>
      </c>
      <c r="JJ18" s="793">
        <f t="shared" si="97"/>
        <v>7.1438550204519933</v>
      </c>
      <c r="JK18" s="793">
        <v>5.9690000000000003</v>
      </c>
      <c r="JL18" s="783">
        <f t="shared" si="114"/>
        <v>0.19682610495091191</v>
      </c>
      <c r="JM18" s="793">
        <f t="shared" si="99"/>
        <v>1.174855020451993</v>
      </c>
      <c r="JN18" s="785">
        <v>10</v>
      </c>
    </row>
    <row r="19" spans="2:275" x14ac:dyDescent="0.3">
      <c r="B19" s="23"/>
      <c r="I19" s="294">
        <f t="shared" si="100"/>
        <v>16</v>
      </c>
      <c r="J19" s="772">
        <f t="shared" si="1"/>
        <v>16</v>
      </c>
      <c r="K19" s="17" t="s">
        <v>419</v>
      </c>
      <c r="L19" s="427">
        <v>11433784</v>
      </c>
      <c r="M19" s="301">
        <f t="shared" si="2"/>
        <v>5.1141171475177633E-3</v>
      </c>
      <c r="N19" s="427">
        <v>277</v>
      </c>
      <c r="O19" s="427">
        <f t="shared" si="74"/>
        <v>41277.198555956682</v>
      </c>
      <c r="P19" s="301">
        <f t="shared" si="3"/>
        <v>2.2380916707625504E-2</v>
      </c>
      <c r="Q19" s="278" t="s">
        <v>385</v>
      </c>
      <c r="U19" s="773">
        <f t="shared" si="101"/>
        <v>16</v>
      </c>
      <c r="V19" s="774">
        <f t="shared" si="4"/>
        <v>16</v>
      </c>
      <c r="W19" s="17" t="s">
        <v>419</v>
      </c>
      <c r="X19" s="303">
        <f t="shared" si="75"/>
        <v>1542230.3199301672</v>
      </c>
      <c r="Y19" s="301">
        <f t="shared" si="5"/>
        <v>1.4888526397013596E-2</v>
      </c>
      <c r="AC19" s="773">
        <f t="shared" si="102"/>
        <v>16</v>
      </c>
      <c r="AD19" s="95">
        <v>16</v>
      </c>
      <c r="AE19" s="305" t="s">
        <v>419</v>
      </c>
      <c r="AF19" s="330">
        <v>9.7100000000000009</v>
      </c>
      <c r="AP19" s="773">
        <f t="shared" si="77"/>
        <v>16</v>
      </c>
      <c r="AQ19" s="779">
        <f t="shared" si="6"/>
        <v>16</v>
      </c>
      <c r="AR19" s="17" t="s">
        <v>419</v>
      </c>
      <c r="AS19" s="17">
        <f t="shared" si="7"/>
        <v>9.7100000000000009</v>
      </c>
      <c r="AT19" s="780">
        <v>11433784</v>
      </c>
      <c r="AU19" s="780">
        <f t="shared" si="103"/>
        <v>30839.456288888894</v>
      </c>
      <c r="AV19" s="781">
        <f t="shared" si="8"/>
        <v>30335.798314479871</v>
      </c>
      <c r="AW19" s="782">
        <f t="shared" si="9"/>
        <v>21.511220758941374</v>
      </c>
      <c r="AX19" s="303">
        <f t="shared" si="113"/>
        <v>652560.05444149813</v>
      </c>
      <c r="AY19" s="301">
        <f t="shared" si="10"/>
        <v>1.4490140591888837E-2</v>
      </c>
      <c r="AZ19" s="299">
        <f t="shared" si="11"/>
        <v>5.7072969999999996</v>
      </c>
      <c r="BK19" s="294">
        <f t="shared" si="104"/>
        <v>16</v>
      </c>
      <c r="BL19" s="278">
        <f t="shared" si="12"/>
        <v>16</v>
      </c>
      <c r="BM19" s="17" t="s">
        <v>419</v>
      </c>
      <c r="BN19" s="301">
        <f t="shared" si="13"/>
        <v>1.4490140591888837E-2</v>
      </c>
      <c r="BO19" s="303">
        <f t="shared" si="14"/>
        <v>135760.63432630047</v>
      </c>
      <c r="BP19" s="301">
        <f t="shared" si="15"/>
        <v>5.1141171475177633E-3</v>
      </c>
      <c r="BQ19" s="303">
        <f t="shared" si="16"/>
        <v>47915.048412619864</v>
      </c>
      <c r="BR19" s="530">
        <f t="shared" si="17"/>
        <v>183675.68273892032</v>
      </c>
      <c r="BS19" s="299">
        <f t="shared" si="18"/>
        <v>1.60643</v>
      </c>
      <c r="BV19" s="20"/>
      <c r="BW19" s="235"/>
      <c r="BX19" s="235"/>
      <c r="BY19" s="235"/>
      <c r="BZ19" s="235"/>
      <c r="CA19" s="235"/>
      <c r="CB19" s="235"/>
      <c r="CC19" s="235"/>
      <c r="CD19" s="235"/>
      <c r="CH19" s="294">
        <f t="shared" si="105"/>
        <v>16</v>
      </c>
      <c r="CI19" s="95">
        <f t="shared" si="20"/>
        <v>16</v>
      </c>
      <c r="CJ19" s="17" t="s">
        <v>419</v>
      </c>
      <c r="CK19" s="301">
        <f t="shared" si="21"/>
        <v>5.1141171475177633E-3</v>
      </c>
      <c r="CL19" s="303">
        <f t="shared" si="22"/>
        <v>32099.947717623189</v>
      </c>
      <c r="CM19" s="301">
        <f t="shared" si="23"/>
        <v>2.2380916707625504E-2</v>
      </c>
      <c r="CN19" s="303">
        <f t="shared" si="24"/>
        <v>468444.87034569611</v>
      </c>
      <c r="CO19" s="303">
        <f t="shared" si="25"/>
        <v>500544.81806331931</v>
      </c>
      <c r="CP19" s="301">
        <f t="shared" si="26"/>
        <v>1.8397457763214681E-2</v>
      </c>
      <c r="CQ19" s="299">
        <f t="shared" si="27"/>
        <v>4.3777699999999999</v>
      </c>
      <c r="DD19" s="20"/>
      <c r="DG19" s="773">
        <f t="shared" si="106"/>
        <v>16</v>
      </c>
      <c r="DH19" s="786">
        <f t="shared" si="29"/>
        <v>16</v>
      </c>
      <c r="DI19" s="17" t="s">
        <v>419</v>
      </c>
      <c r="DJ19" s="301">
        <f t="shared" si="30"/>
        <v>1.8397457763214681E-2</v>
      </c>
      <c r="DK19" s="303">
        <f t="shared" si="31"/>
        <v>5843.8420938283771</v>
      </c>
      <c r="DL19" s="301">
        <f t="shared" si="32"/>
        <v>2.2380916707625504E-2</v>
      </c>
      <c r="DM19" s="303">
        <f t="shared" si="33"/>
        <v>80165.585556207749</v>
      </c>
      <c r="DN19" s="301">
        <f t="shared" si="34"/>
        <v>5.1141171475177633E-3</v>
      </c>
      <c r="DO19" s="303">
        <f t="shared" si="35"/>
        <v>22329.491307225559</v>
      </c>
      <c r="DP19" s="303">
        <f t="shared" si="78"/>
        <v>108338.91895726169</v>
      </c>
      <c r="DQ19" s="301">
        <f t="shared" si="36"/>
        <v>1.3106948973143472E-2</v>
      </c>
      <c r="DR19" s="299">
        <f t="shared" si="37"/>
        <v>0.94753299999999996</v>
      </c>
      <c r="DV19" s="773">
        <f t="shared" si="107"/>
        <v>16</v>
      </c>
      <c r="DW19" s="786">
        <f t="shared" si="38"/>
        <v>16</v>
      </c>
      <c r="DX19" s="17" t="s">
        <v>419</v>
      </c>
      <c r="DY19" s="301">
        <f t="shared" si="39"/>
        <v>2.2380916707625504E-2</v>
      </c>
      <c r="DZ19" s="303">
        <f t="shared" si="40"/>
        <v>97110.845729167908</v>
      </c>
      <c r="EA19" s="299">
        <f t="shared" si="41"/>
        <v>0.849333</v>
      </c>
      <c r="EM19" s="773">
        <f t="shared" si="108"/>
        <v>16</v>
      </c>
      <c r="EN19" s="786">
        <f t="shared" si="42"/>
        <v>16</v>
      </c>
      <c r="EO19" s="17" t="s">
        <v>419</v>
      </c>
      <c r="EP19" s="301">
        <f t="shared" si="43"/>
        <v>1.4888526397013596E-2</v>
      </c>
      <c r="EQ19" s="303">
        <f t="shared" si="44"/>
        <v>124318.5817252847</v>
      </c>
      <c r="ER19" s="301">
        <f t="shared" si="45"/>
        <v>1.8397457763214681E-2</v>
      </c>
      <c r="ES19" s="303">
        <f t="shared" si="46"/>
        <v>20167.703057414798</v>
      </c>
      <c r="ET19" s="301">
        <f t="shared" si="47"/>
        <v>5.1141171475177633E-3</v>
      </c>
      <c r="EU19" s="303">
        <f t="shared" si="48"/>
        <v>21873.368407122602</v>
      </c>
      <c r="EV19" s="303">
        <f t="shared" si="49"/>
        <v>166359.6531898221</v>
      </c>
      <c r="EW19" s="301">
        <f t="shared" si="50"/>
        <v>1.2122478495363158E-2</v>
      </c>
      <c r="EX19" s="299">
        <f t="shared" si="51"/>
        <v>1.4549829999999999</v>
      </c>
      <c r="FH19" s="773">
        <f t="shared" si="109"/>
        <v>16</v>
      </c>
      <c r="FI19" s="774">
        <f t="shared" si="52"/>
        <v>16</v>
      </c>
      <c r="FJ19" s="17" t="s">
        <v>419</v>
      </c>
      <c r="FK19" s="301">
        <f t="shared" si="53"/>
        <v>1.4888526397013596E-2</v>
      </c>
      <c r="FL19" s="303">
        <f t="shared" si="54"/>
        <v>330865.74270080996</v>
      </c>
      <c r="FM19" s="299">
        <f t="shared" si="55"/>
        <v>2.8937550000000001</v>
      </c>
      <c r="FQ19" s="294">
        <f t="shared" si="79"/>
        <v>16</v>
      </c>
      <c r="FR19" s="774">
        <v>16</v>
      </c>
      <c r="FS19" s="17" t="s">
        <v>419</v>
      </c>
      <c r="FT19" s="303">
        <f t="shared" si="80"/>
        <v>652560.05444149813</v>
      </c>
      <c r="FU19" s="303">
        <f t="shared" si="56"/>
        <v>183675.68273892032</v>
      </c>
      <c r="FV19" s="303">
        <f t="shared" si="57"/>
        <v>500544.81806331931</v>
      </c>
      <c r="FW19" s="303">
        <f t="shared" si="58"/>
        <v>108338.91895726169</v>
      </c>
      <c r="FX19" s="303">
        <f t="shared" si="59"/>
        <v>97110.845729167908</v>
      </c>
      <c r="FY19" s="303">
        <f t="shared" si="60"/>
        <v>166359.6531898221</v>
      </c>
      <c r="FZ19" s="303">
        <f t="shared" si="61"/>
        <v>330865.74270080996</v>
      </c>
      <c r="GA19" s="303">
        <f t="shared" si="62"/>
        <v>2039455.7158207991</v>
      </c>
      <c r="GB19" s="381">
        <f t="shared" si="63"/>
        <v>17.837102000000002</v>
      </c>
      <c r="GF19" s="773">
        <f t="shared" si="81"/>
        <v>16</v>
      </c>
      <c r="GG19" s="774">
        <f t="shared" si="64"/>
        <v>16</v>
      </c>
      <c r="GH19" s="17" t="s">
        <v>419</v>
      </c>
      <c r="GI19" s="299">
        <f t="shared" si="82"/>
        <v>5.7072969999999996</v>
      </c>
      <c r="GJ19" s="299">
        <f t="shared" si="65"/>
        <v>1.60643</v>
      </c>
      <c r="GK19" s="299">
        <f t="shared" si="66"/>
        <v>4.3777699999999999</v>
      </c>
      <c r="GL19" s="299">
        <f t="shared" si="67"/>
        <v>0.94753299999999996</v>
      </c>
      <c r="GM19" s="299">
        <f t="shared" si="68"/>
        <v>0.849333</v>
      </c>
      <c r="GN19" s="299">
        <f t="shared" si="69"/>
        <v>1.4549829999999999</v>
      </c>
      <c r="GO19" s="299">
        <f t="shared" si="70"/>
        <v>2.8937550000000001</v>
      </c>
      <c r="GP19" s="299">
        <f t="shared" si="71"/>
        <v>17.837102000000002</v>
      </c>
      <c r="GQ19" s="427">
        <v>11433784</v>
      </c>
      <c r="GR19" s="755"/>
      <c r="GU19" s="294">
        <f t="shared" si="83"/>
        <v>16</v>
      </c>
      <c r="GV19" s="774">
        <f>FR19</f>
        <v>16</v>
      </c>
      <c r="GW19" s="17" t="s">
        <v>419</v>
      </c>
      <c r="GX19" s="278" t="s">
        <v>385</v>
      </c>
      <c r="GY19" s="303">
        <f>GA19</f>
        <v>2039455.7158207991</v>
      </c>
      <c r="GZ19" s="427">
        <f>VLOOKUP(GV19,$GG$4:$GQ$28,$GZ$35,FALSE)</f>
        <v>11433784</v>
      </c>
      <c r="HA19" s="299">
        <f t="shared" si="84"/>
        <v>17.837102000000002</v>
      </c>
      <c r="HB19" s="303">
        <f t="shared" si="72"/>
        <v>2039455.7145396802</v>
      </c>
      <c r="HC19" s="788">
        <f t="shared" si="73"/>
        <v>-1.2811189517378807E-3</v>
      </c>
      <c r="HD19" s="789"/>
      <c r="HG19" s="789"/>
      <c r="HH19" s="789"/>
      <c r="HI19" s="789"/>
      <c r="HJ19" s="789"/>
      <c r="HK19" s="789"/>
      <c r="HL19" s="789"/>
      <c r="HM19" s="789"/>
      <c r="HP19" s="773">
        <f t="shared" si="110"/>
        <v>16</v>
      </c>
      <c r="HQ19" s="792">
        <f>FR19</f>
        <v>16</v>
      </c>
      <c r="HR19" s="17" t="s">
        <v>419</v>
      </c>
      <c r="HS19" s="427">
        <v>11433784</v>
      </c>
      <c r="HT19" s="793">
        <f t="shared" si="85"/>
        <v>17.837102000000002</v>
      </c>
      <c r="HU19" s="793">
        <v>17.366</v>
      </c>
      <c r="HV19" s="783">
        <f t="shared" si="86"/>
        <v>2.7127836001382022E-2</v>
      </c>
      <c r="HW19" s="793">
        <f t="shared" si="87"/>
        <v>0.47110200000000191</v>
      </c>
      <c r="HX19" s="785">
        <v>25</v>
      </c>
      <c r="IO19" s="773">
        <f t="shared" si="111"/>
        <v>16</v>
      </c>
      <c r="IP19" s="792">
        <v>16</v>
      </c>
      <c r="IQ19" s="17" t="s">
        <v>419</v>
      </c>
      <c r="IR19" s="799">
        <f t="shared" si="88"/>
        <v>2039455.7158207991</v>
      </c>
      <c r="IS19" s="800">
        <f t="shared" si="88"/>
        <v>11433784</v>
      </c>
      <c r="IT19" s="801">
        <f t="shared" si="88"/>
        <v>17.837102000000002</v>
      </c>
      <c r="IU19" s="427">
        <f t="shared" si="89"/>
        <v>1636790.0833371452</v>
      </c>
      <c r="IV19" s="427">
        <f t="shared" si="90"/>
        <v>9796993.9166628551</v>
      </c>
      <c r="IW19" s="799">
        <f t="shared" si="91"/>
        <v>24551.851250057178</v>
      </c>
      <c r="IX19" s="799">
        <f t="shared" si="92"/>
        <v>2014903.864570742</v>
      </c>
      <c r="IY19" s="670">
        <f t="shared" si="93"/>
        <v>17.622371251466198</v>
      </c>
      <c r="IZ19" s="670">
        <f t="shared" si="94"/>
        <v>19.122371251466198</v>
      </c>
      <c r="JA19" s="799">
        <f t="shared" si="95"/>
        <v>2039455.7158207989</v>
      </c>
      <c r="JB19" s="381">
        <f t="shared" si="96"/>
        <v>0.21473074853380325</v>
      </c>
      <c r="JF19" s="773">
        <f t="shared" si="112"/>
        <v>16</v>
      </c>
      <c r="JG19" s="792">
        <f>FR19</f>
        <v>16</v>
      </c>
      <c r="JH19" s="17" t="s">
        <v>419</v>
      </c>
      <c r="JI19" s="427">
        <v>11433784</v>
      </c>
      <c r="JJ19" s="793">
        <f t="shared" si="97"/>
        <v>17.622371251466198</v>
      </c>
      <c r="JK19" s="793">
        <v>17.146999999999998</v>
      </c>
      <c r="JL19" s="783">
        <f t="shared" si="114"/>
        <v>2.7723289873808898E-2</v>
      </c>
      <c r="JM19" s="793">
        <f t="shared" si="99"/>
        <v>0.47537125146619985</v>
      </c>
      <c r="JN19" s="785">
        <v>25</v>
      </c>
    </row>
    <row r="20" spans="2:275" x14ac:dyDescent="0.3">
      <c r="I20" s="294">
        <f t="shared" si="100"/>
        <v>17</v>
      </c>
      <c r="J20" s="772">
        <f t="shared" si="1"/>
        <v>17</v>
      </c>
      <c r="K20" s="17" t="s">
        <v>420</v>
      </c>
      <c r="L20" s="427">
        <v>548659489</v>
      </c>
      <c r="M20" s="301">
        <f t="shared" si="2"/>
        <v>0.24540509955787462</v>
      </c>
      <c r="N20" s="427">
        <v>1236</v>
      </c>
      <c r="O20" s="427">
        <f t="shared" si="74"/>
        <v>443899.26294498384</v>
      </c>
      <c r="P20" s="301">
        <f t="shared" si="3"/>
        <v>0.24068669333457809</v>
      </c>
      <c r="Q20" s="278" t="s">
        <v>385</v>
      </c>
      <c r="U20" s="773">
        <f t="shared" si="101"/>
        <v>17</v>
      </c>
      <c r="V20" s="774">
        <f t="shared" si="4"/>
        <v>17</v>
      </c>
      <c r="W20" s="17" t="s">
        <v>420</v>
      </c>
      <c r="X20" s="303">
        <f t="shared" si="75"/>
        <v>23931098.851480555</v>
      </c>
      <c r="Y20" s="301">
        <f t="shared" si="5"/>
        <v>0.23102826624232323</v>
      </c>
      <c r="AC20" s="773">
        <f t="shared" si="102"/>
        <v>17</v>
      </c>
      <c r="AD20" s="95">
        <v>17</v>
      </c>
      <c r="AE20" s="305" t="s">
        <v>420</v>
      </c>
      <c r="AF20" s="330">
        <v>3.08</v>
      </c>
      <c r="AP20" s="773">
        <f t="shared" si="77"/>
        <v>17</v>
      </c>
      <c r="AQ20" s="779">
        <f t="shared" si="6"/>
        <v>17</v>
      </c>
      <c r="AR20" s="17" t="s">
        <v>420</v>
      </c>
      <c r="AS20" s="17">
        <f t="shared" si="7"/>
        <v>3.08</v>
      </c>
      <c r="AT20" s="780">
        <v>548659489</v>
      </c>
      <c r="AU20" s="780">
        <f t="shared" si="103"/>
        <v>469408.67392222228</v>
      </c>
      <c r="AV20" s="781">
        <f t="shared" si="8"/>
        <v>461742.47450343188</v>
      </c>
      <c r="AW20" s="782">
        <f t="shared" si="9"/>
        <v>21.511220758941374</v>
      </c>
      <c r="AX20" s="303">
        <f t="shared" si="113"/>
        <v>9932644.3028231822</v>
      </c>
      <c r="AY20" s="301">
        <f t="shared" si="10"/>
        <v>0.22055504534415918</v>
      </c>
      <c r="AZ20" s="299">
        <f t="shared" si="11"/>
        <v>1.8103480000000001</v>
      </c>
      <c r="BK20" s="294">
        <f t="shared" si="104"/>
        <v>17</v>
      </c>
      <c r="BL20" s="278">
        <f t="shared" si="12"/>
        <v>17</v>
      </c>
      <c r="BM20" s="17" t="s">
        <v>420</v>
      </c>
      <c r="BN20" s="301">
        <f t="shared" si="13"/>
        <v>0.22055504534415918</v>
      </c>
      <c r="BO20" s="303">
        <f t="shared" si="14"/>
        <v>2066418.3808230315</v>
      </c>
      <c r="BP20" s="301">
        <f t="shared" si="15"/>
        <v>0.24540509955787462</v>
      </c>
      <c r="BQ20" s="303">
        <f t="shared" si="16"/>
        <v>2299242.8383707688</v>
      </c>
      <c r="BR20" s="530">
        <f t="shared" si="17"/>
        <v>4365661.2191938004</v>
      </c>
      <c r="BS20" s="299">
        <f t="shared" si="18"/>
        <v>0.79569599999999996</v>
      </c>
      <c r="BV20" s="20"/>
      <c r="BW20" s="235"/>
      <c r="BX20" s="235"/>
      <c r="BY20" s="235"/>
      <c r="BZ20" s="235"/>
      <c r="CA20" s="235"/>
      <c r="CB20" s="235"/>
      <c r="CC20" s="235"/>
      <c r="CD20" s="235"/>
      <c r="CH20" s="294">
        <f t="shared" si="105"/>
        <v>17</v>
      </c>
      <c r="CI20" s="95">
        <f t="shared" si="20"/>
        <v>17</v>
      </c>
      <c r="CJ20" s="17" t="s">
        <v>420</v>
      </c>
      <c r="CK20" s="301">
        <f t="shared" si="21"/>
        <v>0.24540509955787462</v>
      </c>
      <c r="CL20" s="303">
        <f t="shared" si="22"/>
        <v>1540342.2796580605</v>
      </c>
      <c r="CM20" s="301">
        <f t="shared" si="23"/>
        <v>0.24068669333457809</v>
      </c>
      <c r="CN20" s="303">
        <f t="shared" si="24"/>
        <v>5037704.5911902133</v>
      </c>
      <c r="CO20" s="303">
        <f t="shared" si="25"/>
        <v>6578046.8708482739</v>
      </c>
      <c r="CP20" s="301">
        <f t="shared" si="26"/>
        <v>0.24177523191453471</v>
      </c>
      <c r="CQ20" s="299">
        <f t="shared" si="27"/>
        <v>1.198931</v>
      </c>
      <c r="DD20" s="20"/>
      <c r="DG20" s="773">
        <f t="shared" si="106"/>
        <v>17</v>
      </c>
      <c r="DH20" s="786">
        <f t="shared" si="29"/>
        <v>17</v>
      </c>
      <c r="DI20" s="17" t="s">
        <v>420</v>
      </c>
      <c r="DJ20" s="301">
        <f t="shared" si="30"/>
        <v>0.24177523191453471</v>
      </c>
      <c r="DK20" s="303">
        <f t="shared" si="31"/>
        <v>76798.452030276239</v>
      </c>
      <c r="DL20" s="301">
        <f t="shared" si="32"/>
        <v>0.24068669333457809</v>
      </c>
      <c r="DM20" s="303">
        <f t="shared" si="33"/>
        <v>862108.99932351045</v>
      </c>
      <c r="DN20" s="301">
        <f t="shared" si="34"/>
        <v>0.24540509955787462</v>
      </c>
      <c r="DO20" s="303">
        <f t="shared" si="35"/>
        <v>1071498.9272363654</v>
      </c>
      <c r="DP20" s="303">
        <f t="shared" si="78"/>
        <v>2010406.3785901521</v>
      </c>
      <c r="DQ20" s="301">
        <f t="shared" si="36"/>
        <v>0.24322094103466305</v>
      </c>
      <c r="DR20" s="299">
        <f t="shared" si="37"/>
        <v>0.36642200000000003</v>
      </c>
      <c r="DV20" s="773">
        <f t="shared" si="107"/>
        <v>17</v>
      </c>
      <c r="DW20" s="786">
        <f t="shared" si="38"/>
        <v>17</v>
      </c>
      <c r="DX20" s="17" t="s">
        <v>420</v>
      </c>
      <c r="DY20" s="301">
        <f t="shared" si="39"/>
        <v>0.24068669333457809</v>
      </c>
      <c r="DZ20" s="303">
        <f t="shared" si="40"/>
        <v>1044340.0800251466</v>
      </c>
      <c r="EA20" s="299">
        <f t="shared" si="41"/>
        <v>0.19034400000000001</v>
      </c>
      <c r="EM20" s="773">
        <f t="shared" si="108"/>
        <v>17</v>
      </c>
      <c r="EN20" s="786">
        <f t="shared" si="42"/>
        <v>17</v>
      </c>
      <c r="EO20" s="17" t="s">
        <v>420</v>
      </c>
      <c r="EP20" s="301">
        <f t="shared" si="43"/>
        <v>0.23102826624232323</v>
      </c>
      <c r="EQ20" s="303">
        <f t="shared" si="44"/>
        <v>1929076.5003753558</v>
      </c>
      <c r="ER20" s="301">
        <f t="shared" si="45"/>
        <v>0.24177523191453471</v>
      </c>
      <c r="ES20" s="303">
        <f t="shared" si="46"/>
        <v>265039.39547775412</v>
      </c>
      <c r="ET20" s="301">
        <f t="shared" si="47"/>
        <v>0.24540509955787462</v>
      </c>
      <c r="EU20" s="303">
        <f t="shared" si="48"/>
        <v>1049611.496330579</v>
      </c>
      <c r="EV20" s="303">
        <f t="shared" si="49"/>
        <v>3243727.3921836894</v>
      </c>
      <c r="EW20" s="301">
        <f t="shared" si="50"/>
        <v>0.23636750138989177</v>
      </c>
      <c r="EX20" s="299">
        <f t="shared" si="51"/>
        <v>0.59121000000000001</v>
      </c>
      <c r="FH20" s="773">
        <f t="shared" si="109"/>
        <v>17</v>
      </c>
      <c r="FI20" s="774">
        <f t="shared" si="52"/>
        <v>17</v>
      </c>
      <c r="FJ20" s="17" t="s">
        <v>420</v>
      </c>
      <c r="FK20" s="301">
        <f t="shared" si="53"/>
        <v>0.23102826624232323</v>
      </c>
      <c r="FL20" s="303">
        <f t="shared" si="54"/>
        <v>5134110.4456435172</v>
      </c>
      <c r="FM20" s="299">
        <f t="shared" si="55"/>
        <v>0.935755</v>
      </c>
      <c r="FQ20" s="294">
        <f t="shared" si="79"/>
        <v>17</v>
      </c>
      <c r="FR20" s="774">
        <v>17</v>
      </c>
      <c r="FS20" s="17" t="s">
        <v>420</v>
      </c>
      <c r="FT20" s="303">
        <f t="shared" si="80"/>
        <v>9932644.3028231822</v>
      </c>
      <c r="FU20" s="303">
        <f t="shared" si="56"/>
        <v>4365661.2191938004</v>
      </c>
      <c r="FV20" s="303">
        <f t="shared" si="57"/>
        <v>6578046.8708482739</v>
      </c>
      <c r="FW20" s="303">
        <f t="shared" si="58"/>
        <v>2010406.3785901521</v>
      </c>
      <c r="FX20" s="303">
        <f t="shared" si="59"/>
        <v>1044340.0800251466</v>
      </c>
      <c r="FY20" s="303">
        <f t="shared" si="60"/>
        <v>3243727.3921836894</v>
      </c>
      <c r="FZ20" s="303">
        <f t="shared" si="61"/>
        <v>5134110.4456435172</v>
      </c>
      <c r="GA20" s="303">
        <f t="shared" si="62"/>
        <v>32308936.68930776</v>
      </c>
      <c r="GB20" s="381">
        <f t="shared" si="63"/>
        <v>5.8887049999999999</v>
      </c>
      <c r="GF20" s="773">
        <f t="shared" si="81"/>
        <v>17</v>
      </c>
      <c r="GG20" s="774">
        <f t="shared" si="64"/>
        <v>17</v>
      </c>
      <c r="GH20" s="17" t="s">
        <v>420</v>
      </c>
      <c r="GI20" s="299">
        <f t="shared" si="82"/>
        <v>1.8103480000000001</v>
      </c>
      <c r="GJ20" s="299">
        <f t="shared" si="65"/>
        <v>0.79569599999999996</v>
      </c>
      <c r="GK20" s="299">
        <f t="shared" si="66"/>
        <v>1.198931</v>
      </c>
      <c r="GL20" s="299">
        <f t="shared" si="67"/>
        <v>0.36642200000000003</v>
      </c>
      <c r="GM20" s="299">
        <f t="shared" si="68"/>
        <v>0.19034400000000001</v>
      </c>
      <c r="GN20" s="299">
        <f t="shared" si="69"/>
        <v>0.59121000000000001</v>
      </c>
      <c r="GO20" s="299">
        <f t="shared" si="70"/>
        <v>0.935755</v>
      </c>
      <c r="GP20" s="299">
        <f t="shared" si="71"/>
        <v>5.8887049999999999</v>
      </c>
      <c r="GQ20" s="427">
        <v>548659489</v>
      </c>
      <c r="GR20" s="755"/>
      <c r="GU20" s="294">
        <f t="shared" si="83"/>
        <v>17</v>
      </c>
      <c r="GV20" s="774">
        <f>FR20</f>
        <v>17</v>
      </c>
      <c r="GW20" s="17" t="s">
        <v>420</v>
      </c>
      <c r="GX20" s="278" t="s">
        <v>385</v>
      </c>
      <c r="GY20" s="303">
        <f>GA20</f>
        <v>32308936.68930776</v>
      </c>
      <c r="GZ20" s="427">
        <f>VLOOKUP(GV20,$GG$4:$GQ$28,$GZ$35,FALSE)</f>
        <v>548659489</v>
      </c>
      <c r="HA20" s="299">
        <f t="shared" si="84"/>
        <v>5.8887049999999999</v>
      </c>
      <c r="HB20" s="303">
        <f t="shared" si="72"/>
        <v>32308938.76171745</v>
      </c>
      <c r="HC20" s="788">
        <f t="shared" si="73"/>
        <v>2.0724096894264221</v>
      </c>
      <c r="HD20" s="789"/>
      <c r="HG20" s="789"/>
      <c r="HH20" s="789"/>
      <c r="HI20" s="789"/>
      <c r="HJ20" s="789"/>
      <c r="HK20" s="789"/>
      <c r="HL20" s="789"/>
      <c r="HM20" s="789"/>
      <c r="HP20" s="773">
        <f t="shared" si="110"/>
        <v>17</v>
      </c>
      <c r="HQ20" s="792">
        <f>FR20</f>
        <v>17</v>
      </c>
      <c r="HR20" s="17" t="s">
        <v>420</v>
      </c>
      <c r="HS20" s="427">
        <v>548659489</v>
      </c>
      <c r="HT20" s="793">
        <f t="shared" si="85"/>
        <v>5.8887049999999999</v>
      </c>
      <c r="HU20" s="793">
        <v>5.3869999999999996</v>
      </c>
      <c r="HV20" s="783">
        <f t="shared" si="86"/>
        <v>9.3132541303137195E-2</v>
      </c>
      <c r="HW20" s="793">
        <f t="shared" si="87"/>
        <v>0.50170500000000029</v>
      </c>
      <c r="HX20" s="785">
        <v>10</v>
      </c>
      <c r="IO20" s="773">
        <f t="shared" si="111"/>
        <v>17</v>
      </c>
      <c r="IP20" s="792">
        <v>17</v>
      </c>
      <c r="IQ20" s="17" t="s">
        <v>420</v>
      </c>
      <c r="IR20" s="799">
        <f t="shared" si="88"/>
        <v>32308936.68930776</v>
      </c>
      <c r="IS20" s="800">
        <f t="shared" si="88"/>
        <v>548659489</v>
      </c>
      <c r="IT20" s="801">
        <f t="shared" si="88"/>
        <v>5.8887049999999999</v>
      </c>
      <c r="IU20" s="427">
        <f t="shared" si="89"/>
        <v>78542712.607132122</v>
      </c>
      <c r="IV20" s="427">
        <f t="shared" si="90"/>
        <v>470116776.39286786</v>
      </c>
      <c r="IW20" s="799">
        <f t="shared" si="91"/>
        <v>1178140.6891069817</v>
      </c>
      <c r="IX20" s="799">
        <f t="shared" si="92"/>
        <v>31130796.000200778</v>
      </c>
      <c r="IY20" s="670">
        <f t="shared" si="93"/>
        <v>5.6739738625391345</v>
      </c>
      <c r="IZ20" s="670">
        <f t="shared" si="94"/>
        <v>7.1739738625391345</v>
      </c>
      <c r="JA20" s="799">
        <f t="shared" si="95"/>
        <v>32308936.689307757</v>
      </c>
      <c r="JB20" s="381">
        <f t="shared" si="96"/>
        <v>0.21473113746086536</v>
      </c>
      <c r="JF20" s="773">
        <f t="shared" si="112"/>
        <v>17</v>
      </c>
      <c r="JG20" s="792">
        <f>FR20</f>
        <v>17</v>
      </c>
      <c r="JH20" s="17" t="s">
        <v>420</v>
      </c>
      <c r="JI20" s="427">
        <v>548659489</v>
      </c>
      <c r="JJ20" s="793">
        <f t="shared" si="97"/>
        <v>5.6739738625391345</v>
      </c>
      <c r="JK20" s="793">
        <v>5.1680000000000001</v>
      </c>
      <c r="JL20" s="783">
        <f t="shared" si="114"/>
        <v>9.7905159160049271E-2</v>
      </c>
      <c r="JM20" s="793">
        <f t="shared" si="99"/>
        <v>0.50597386253913434</v>
      </c>
      <c r="JN20" s="785">
        <v>10</v>
      </c>
    </row>
    <row r="21" spans="2:275" x14ac:dyDescent="0.3">
      <c r="I21" s="294">
        <f t="shared" si="100"/>
        <v>18</v>
      </c>
      <c r="J21" s="772">
        <f t="shared" si="1"/>
        <v>18</v>
      </c>
      <c r="K21" s="17" t="s">
        <v>421</v>
      </c>
      <c r="L21" s="427">
        <v>54376651</v>
      </c>
      <c r="M21" s="301">
        <f t="shared" si="2"/>
        <v>2.4321656181688314E-2</v>
      </c>
      <c r="N21" s="427">
        <v>346</v>
      </c>
      <c r="O21" s="427">
        <f t="shared" si="74"/>
        <v>157157.95086705202</v>
      </c>
      <c r="P21" s="301">
        <f t="shared" si="3"/>
        <v>8.521263872906433E-2</v>
      </c>
      <c r="Q21" s="278" t="s">
        <v>385</v>
      </c>
      <c r="U21" s="773">
        <f t="shared" si="101"/>
        <v>18</v>
      </c>
      <c r="V21" s="774">
        <f t="shared" si="4"/>
        <v>18</v>
      </c>
      <c r="W21" s="17" t="s">
        <v>421</v>
      </c>
      <c r="X21" s="303">
        <f t="shared" si="75"/>
        <v>5948575.4236299014</v>
      </c>
      <c r="Y21" s="301">
        <f t="shared" si="5"/>
        <v>5.7426910283640643E-2</v>
      </c>
      <c r="AC21" s="773">
        <f t="shared" si="102"/>
        <v>18</v>
      </c>
      <c r="AD21" s="95">
        <v>18</v>
      </c>
      <c r="AE21" s="305" t="s">
        <v>421</v>
      </c>
      <c r="AF21" s="330">
        <v>7.72</v>
      </c>
      <c r="AP21" s="773">
        <f t="shared" si="77"/>
        <v>18</v>
      </c>
      <c r="AQ21" s="779">
        <f t="shared" si="6"/>
        <v>18</v>
      </c>
      <c r="AR21" s="17" t="s">
        <v>421</v>
      </c>
      <c r="AS21" s="17">
        <f t="shared" si="7"/>
        <v>7.72</v>
      </c>
      <c r="AT21" s="780">
        <v>54376651</v>
      </c>
      <c r="AU21" s="780">
        <f>AT21*AS21/3600</f>
        <v>116607.70714444443</v>
      </c>
      <c r="AV21" s="781">
        <f t="shared" si="8"/>
        <v>114703.315541989</v>
      </c>
      <c r="AW21" s="782">
        <f t="shared" si="9"/>
        <v>21.511220758941374</v>
      </c>
      <c r="AX21" s="303">
        <f t="shared" si="113"/>
        <v>2467408.3424062366</v>
      </c>
      <c r="AY21" s="301">
        <f t="shared" si="10"/>
        <v>5.4788970816893628E-2</v>
      </c>
      <c r="AZ21" s="299">
        <f t="shared" si="11"/>
        <v>4.5376250000000002</v>
      </c>
      <c r="BK21" s="294">
        <f t="shared" si="104"/>
        <v>18</v>
      </c>
      <c r="BL21" s="278">
        <f t="shared" si="12"/>
        <v>18</v>
      </c>
      <c r="BM21" s="17" t="s">
        <v>421</v>
      </c>
      <c r="BN21" s="301">
        <f t="shared" si="13"/>
        <v>5.4788970816893628E-2</v>
      </c>
      <c r="BO21" s="303">
        <f t="shared" si="14"/>
        <v>513327.34731023427</v>
      </c>
      <c r="BP21" s="301">
        <f t="shared" si="15"/>
        <v>2.4321656181688314E-2</v>
      </c>
      <c r="BQ21" s="303">
        <f t="shared" si="16"/>
        <v>227873.80496090662</v>
      </c>
      <c r="BR21" s="530">
        <f t="shared" si="17"/>
        <v>741201.15227114083</v>
      </c>
      <c r="BS21" s="299">
        <f t="shared" si="18"/>
        <v>1.3630869999999999</v>
      </c>
      <c r="BV21" s="20"/>
      <c r="BW21" s="235"/>
      <c r="BX21" s="235"/>
      <c r="BY21" s="235"/>
      <c r="BZ21" s="235"/>
      <c r="CA21" s="235"/>
      <c r="CB21" s="235"/>
      <c r="CC21" s="235"/>
      <c r="CD21" s="235"/>
      <c r="CH21" s="294">
        <f t="shared" si="105"/>
        <v>18</v>
      </c>
      <c r="CI21" s="95">
        <f t="shared" si="20"/>
        <v>18</v>
      </c>
      <c r="CJ21" s="17" t="s">
        <v>421</v>
      </c>
      <c r="CK21" s="301">
        <f t="shared" si="21"/>
        <v>2.4321656181688314E-2</v>
      </c>
      <c r="CL21" s="303">
        <f t="shared" si="22"/>
        <v>152660.54126607979</v>
      </c>
      <c r="CM21" s="301">
        <f t="shared" si="23"/>
        <v>8.521263872906433E-2</v>
      </c>
      <c r="CN21" s="303">
        <f t="shared" si="24"/>
        <v>1783547.2971333088</v>
      </c>
      <c r="CO21" s="303">
        <f t="shared" si="25"/>
        <v>1936207.8383993886</v>
      </c>
      <c r="CP21" s="301">
        <f t="shared" si="26"/>
        <v>7.1165059835364877E-2</v>
      </c>
      <c r="CQ21" s="299">
        <f t="shared" si="27"/>
        <v>3.5607340000000001</v>
      </c>
      <c r="DD21" s="20"/>
      <c r="DG21" s="773">
        <f t="shared" si="106"/>
        <v>18</v>
      </c>
      <c r="DH21" s="786">
        <f t="shared" si="29"/>
        <v>18</v>
      </c>
      <c r="DI21" s="17" t="s">
        <v>421</v>
      </c>
      <c r="DJ21" s="301">
        <f t="shared" si="30"/>
        <v>7.1165059835364877E-2</v>
      </c>
      <c r="DK21" s="303">
        <f t="shared" si="31"/>
        <v>22605.154344056071</v>
      </c>
      <c r="DL21" s="301">
        <f t="shared" si="32"/>
        <v>8.521263872906433E-2</v>
      </c>
      <c r="DM21" s="303">
        <f t="shared" si="33"/>
        <v>305220.79009290831</v>
      </c>
      <c r="DN21" s="301">
        <f t="shared" si="34"/>
        <v>2.4321656181688314E-2</v>
      </c>
      <c r="DO21" s="303">
        <f t="shared" si="35"/>
        <v>106194.3234033928</v>
      </c>
      <c r="DP21" s="303">
        <f t="shared" si="78"/>
        <v>434020.26784035721</v>
      </c>
      <c r="DQ21" s="301">
        <f t="shared" si="36"/>
        <v>5.2508198887767532E-2</v>
      </c>
      <c r="DR21" s="299">
        <f t="shared" si="37"/>
        <v>0.79817400000000005</v>
      </c>
      <c r="DV21" s="773">
        <f t="shared" si="107"/>
        <v>18</v>
      </c>
      <c r="DW21" s="786">
        <f t="shared" si="38"/>
        <v>18</v>
      </c>
      <c r="DX21" s="17" t="s">
        <v>421</v>
      </c>
      <c r="DY21" s="301">
        <f t="shared" si="39"/>
        <v>8.521263872906433E-2</v>
      </c>
      <c r="DZ21" s="303">
        <f t="shared" si="40"/>
        <v>369737.82271277776</v>
      </c>
      <c r="EA21" s="299">
        <f t="shared" si="41"/>
        <v>0.67995700000000003</v>
      </c>
      <c r="EM21" s="773">
        <f t="shared" si="108"/>
        <v>18</v>
      </c>
      <c r="EN21" s="786">
        <f t="shared" si="42"/>
        <v>18</v>
      </c>
      <c r="EO21" s="17" t="s">
        <v>421</v>
      </c>
      <c r="EP21" s="301">
        <f t="shared" si="43"/>
        <v>5.7426910283640643E-2</v>
      </c>
      <c r="EQ21" s="303">
        <f t="shared" si="44"/>
        <v>479512.33379009151</v>
      </c>
      <c r="ER21" s="301">
        <f t="shared" si="45"/>
        <v>7.1165059835364877E-2</v>
      </c>
      <c r="ES21" s="303">
        <f t="shared" si="46"/>
        <v>78012.724002145464</v>
      </c>
      <c r="ET21" s="301">
        <f t="shared" si="47"/>
        <v>2.4321656181688314E-2</v>
      </c>
      <c r="EU21" s="303">
        <f t="shared" si="48"/>
        <v>104025.0996580425</v>
      </c>
      <c r="EV21" s="303">
        <f t="shared" si="49"/>
        <v>661550.15745027957</v>
      </c>
      <c r="EW21" s="301">
        <f t="shared" si="50"/>
        <v>4.8206565735890619E-2</v>
      </c>
      <c r="EX21" s="299">
        <f t="shared" si="51"/>
        <v>1.216607</v>
      </c>
      <c r="FH21" s="773">
        <f t="shared" si="109"/>
        <v>18</v>
      </c>
      <c r="FI21" s="774">
        <f t="shared" si="52"/>
        <v>18</v>
      </c>
      <c r="FJ21" s="17" t="s">
        <v>421</v>
      </c>
      <c r="FK21" s="301">
        <f t="shared" si="53"/>
        <v>5.7426910283640643E-2</v>
      </c>
      <c r="FL21" s="303">
        <f t="shared" si="54"/>
        <v>1276190.5923625028</v>
      </c>
      <c r="FM21" s="299">
        <f t="shared" si="55"/>
        <v>2.346946</v>
      </c>
      <c r="FQ21" s="294">
        <f t="shared" si="79"/>
        <v>18</v>
      </c>
      <c r="FR21" s="774">
        <v>18</v>
      </c>
      <c r="FS21" s="17" t="s">
        <v>421</v>
      </c>
      <c r="FT21" s="303">
        <f t="shared" si="80"/>
        <v>2467408.3424062366</v>
      </c>
      <c r="FU21" s="303">
        <f t="shared" si="56"/>
        <v>741201.15227114083</v>
      </c>
      <c r="FV21" s="303">
        <f t="shared" si="57"/>
        <v>1936207.8383993886</v>
      </c>
      <c r="FW21" s="303">
        <f t="shared" si="58"/>
        <v>434020.26784035721</v>
      </c>
      <c r="FX21" s="303">
        <f t="shared" si="59"/>
        <v>369737.82271277776</v>
      </c>
      <c r="FY21" s="303">
        <f t="shared" si="60"/>
        <v>661550.15745027957</v>
      </c>
      <c r="FZ21" s="303">
        <f t="shared" si="61"/>
        <v>1276190.5923625028</v>
      </c>
      <c r="GA21" s="303">
        <f t="shared" si="62"/>
        <v>7886316.1734426832</v>
      </c>
      <c r="GB21" s="381">
        <f t="shared" si="63"/>
        <v>14.503130000000001</v>
      </c>
      <c r="GF21" s="773">
        <f t="shared" si="81"/>
        <v>18</v>
      </c>
      <c r="GG21" s="774">
        <f t="shared" si="64"/>
        <v>18</v>
      </c>
      <c r="GH21" s="17" t="s">
        <v>421</v>
      </c>
      <c r="GI21" s="299">
        <f t="shared" si="82"/>
        <v>4.5376250000000002</v>
      </c>
      <c r="GJ21" s="299">
        <f t="shared" si="65"/>
        <v>1.3630869999999999</v>
      </c>
      <c r="GK21" s="299">
        <f t="shared" si="66"/>
        <v>3.5607340000000001</v>
      </c>
      <c r="GL21" s="299">
        <f t="shared" si="67"/>
        <v>0.79817400000000005</v>
      </c>
      <c r="GM21" s="299">
        <f t="shared" si="68"/>
        <v>0.67995700000000003</v>
      </c>
      <c r="GN21" s="299">
        <f t="shared" si="69"/>
        <v>1.216607</v>
      </c>
      <c r="GO21" s="299">
        <f t="shared" si="70"/>
        <v>2.346946</v>
      </c>
      <c r="GP21" s="299">
        <f t="shared" si="71"/>
        <v>14.503130000000001</v>
      </c>
      <c r="GQ21" s="427">
        <v>54376651</v>
      </c>
      <c r="GR21" s="755"/>
      <c r="GU21" s="294">
        <f t="shared" si="83"/>
        <v>18</v>
      </c>
      <c r="GV21" s="774">
        <f>FR21</f>
        <v>18</v>
      </c>
      <c r="GW21" s="17" t="s">
        <v>421</v>
      </c>
      <c r="GX21" s="278" t="s">
        <v>385</v>
      </c>
      <c r="GY21" s="303">
        <f>GA21</f>
        <v>7886316.1734426832</v>
      </c>
      <c r="GZ21" s="427">
        <f>VLOOKUP(GV21,$GG$4:$GQ$28,$GZ$35,FALSE)</f>
        <v>54376651</v>
      </c>
      <c r="HA21" s="299">
        <f t="shared" si="84"/>
        <v>14.503130000000001</v>
      </c>
      <c r="HB21" s="303">
        <f t="shared" si="72"/>
        <v>7886316.3841763008</v>
      </c>
      <c r="HC21" s="788">
        <f t="shared" si="73"/>
        <v>0.2107336176559329</v>
      </c>
      <c r="HD21" s="789"/>
      <c r="HG21" s="789"/>
      <c r="HH21" s="789"/>
      <c r="HI21" s="789"/>
      <c r="HJ21" s="789"/>
      <c r="HK21" s="789"/>
      <c r="HL21" s="789"/>
      <c r="HM21" s="789"/>
      <c r="HP21" s="773">
        <f t="shared" si="110"/>
        <v>18</v>
      </c>
      <c r="HQ21" s="792">
        <f>FR21</f>
        <v>18</v>
      </c>
      <c r="HR21" s="17" t="s">
        <v>421</v>
      </c>
      <c r="HS21" s="427">
        <v>54376651</v>
      </c>
      <c r="HT21" s="793">
        <f t="shared" si="85"/>
        <v>14.503130000000001</v>
      </c>
      <c r="HU21" s="793">
        <v>14.989000000000001</v>
      </c>
      <c r="HV21" s="783">
        <f t="shared" si="86"/>
        <v>-3.2415104409900586E-2</v>
      </c>
      <c r="HW21" s="793">
        <f t="shared" si="87"/>
        <v>-0.48587000000000025</v>
      </c>
      <c r="HX21" s="785">
        <v>25</v>
      </c>
      <c r="IO21" s="773">
        <f t="shared" si="111"/>
        <v>18</v>
      </c>
      <c r="IP21" s="792">
        <v>18</v>
      </c>
      <c r="IQ21" s="17" t="s">
        <v>421</v>
      </c>
      <c r="IR21" s="799">
        <f t="shared" si="88"/>
        <v>7886316.1734426832</v>
      </c>
      <c r="IS21" s="800">
        <f t="shared" si="88"/>
        <v>54376651</v>
      </c>
      <c r="IT21" s="801">
        <f t="shared" si="88"/>
        <v>14.503130000000001</v>
      </c>
      <c r="IU21" s="427">
        <f t="shared" si="89"/>
        <v>7784226.3875095816</v>
      </c>
      <c r="IV21" s="427">
        <f t="shared" si="90"/>
        <v>46592424.612490416</v>
      </c>
      <c r="IW21" s="799">
        <f t="shared" si="91"/>
        <v>116763.39581264372</v>
      </c>
      <c r="IX21" s="799">
        <f t="shared" si="92"/>
        <v>7769552.7776300395</v>
      </c>
      <c r="IY21" s="670">
        <f t="shared" si="93"/>
        <v>14.288398852717208</v>
      </c>
      <c r="IZ21" s="670">
        <f t="shared" si="94"/>
        <v>15.788398852717208</v>
      </c>
      <c r="JA21" s="799">
        <f t="shared" si="95"/>
        <v>7886316.1734426832</v>
      </c>
      <c r="JB21" s="381">
        <f t="shared" si="96"/>
        <v>0.21473114728279263</v>
      </c>
      <c r="JF21" s="773">
        <f t="shared" si="112"/>
        <v>18</v>
      </c>
      <c r="JG21" s="792">
        <f>FR21</f>
        <v>18</v>
      </c>
      <c r="JH21" s="17" t="s">
        <v>421</v>
      </c>
      <c r="JI21" s="427">
        <v>54376651</v>
      </c>
      <c r="JJ21" s="793">
        <f t="shared" si="97"/>
        <v>14.288398852717208</v>
      </c>
      <c r="JK21" s="793">
        <v>14.77</v>
      </c>
      <c r="JL21" s="783">
        <f t="shared" si="114"/>
        <v>-3.2606712747650035E-2</v>
      </c>
      <c r="JM21" s="793">
        <f t="shared" si="99"/>
        <v>-0.48160114728279169</v>
      </c>
      <c r="JN21" s="785">
        <v>25</v>
      </c>
    </row>
    <row r="22" spans="2:275" x14ac:dyDescent="0.3">
      <c r="I22" s="294">
        <f t="shared" si="100"/>
        <v>19</v>
      </c>
      <c r="J22" s="772">
        <f t="shared" si="1"/>
        <v>19</v>
      </c>
      <c r="K22" s="17" t="s">
        <v>422</v>
      </c>
      <c r="L22" s="427">
        <v>1004</v>
      </c>
      <c r="M22" s="301">
        <f t="shared" si="2"/>
        <v>4.4907037041348994E-7</v>
      </c>
      <c r="N22" s="427">
        <v>46</v>
      </c>
      <c r="O22" s="427">
        <f t="shared" si="74"/>
        <v>21.826086956521738</v>
      </c>
      <c r="P22" s="301">
        <f t="shared" si="3"/>
        <v>1.1834326245883543E-5</v>
      </c>
      <c r="Q22" s="278" t="s">
        <v>385</v>
      </c>
      <c r="U22" s="773">
        <f t="shared" si="101"/>
        <v>19</v>
      </c>
      <c r="V22" s="774">
        <f t="shared" si="4"/>
        <v>19</v>
      </c>
      <c r="W22" s="17" t="s">
        <v>422</v>
      </c>
      <c r="X22" s="303">
        <f t="shared" si="75"/>
        <v>1288.3145903622942</v>
      </c>
      <c r="Y22" s="301">
        <f t="shared" si="5"/>
        <v>1.2437251128051551E-5</v>
      </c>
      <c r="AC22" s="773">
        <f t="shared" si="102"/>
        <v>19</v>
      </c>
      <c r="AD22" s="95">
        <v>19</v>
      </c>
      <c r="AE22" s="305" t="s">
        <v>422</v>
      </c>
      <c r="AF22" s="330">
        <v>131.15</v>
      </c>
      <c r="AP22" s="773">
        <f t="shared" si="77"/>
        <v>19</v>
      </c>
      <c r="AQ22" s="779">
        <f t="shared" si="6"/>
        <v>19</v>
      </c>
      <c r="AR22" s="17" t="s">
        <v>422</v>
      </c>
      <c r="AS22" s="17">
        <f t="shared" si="7"/>
        <v>131.15</v>
      </c>
      <c r="AT22" s="780">
        <v>1004</v>
      </c>
      <c r="AU22" s="780">
        <f t="shared" si="103"/>
        <v>36.576277777777783</v>
      </c>
      <c r="AV22" s="781">
        <f t="shared" si="8"/>
        <v>35.97892827185882</v>
      </c>
      <c r="AW22" s="782">
        <f t="shared" si="9"/>
        <v>21.511220758941374</v>
      </c>
      <c r="AX22" s="303">
        <f t="shared" si="113"/>
        <v>773.95066872607208</v>
      </c>
      <c r="AY22" s="301">
        <f t="shared" si="10"/>
        <v>1.718562747550549E-5</v>
      </c>
      <c r="AZ22" s="299">
        <f t="shared" si="11"/>
        <v>77.08672</v>
      </c>
      <c r="BK22" s="294">
        <f t="shared" si="104"/>
        <v>19</v>
      </c>
      <c r="BL22" s="278">
        <f t="shared" si="12"/>
        <v>19</v>
      </c>
      <c r="BM22" s="17" t="s">
        <v>422</v>
      </c>
      <c r="BN22" s="301">
        <f t="shared" si="13"/>
        <v>1.718562747550549E-5</v>
      </c>
      <c r="BO22" s="303">
        <f t="shared" si="14"/>
        <v>161.0151173188853</v>
      </c>
      <c r="BP22" s="301">
        <f t="shared" si="15"/>
        <v>4.4907037041348994E-7</v>
      </c>
      <c r="BQ22" s="303">
        <f t="shared" si="16"/>
        <v>4.2074179996989933</v>
      </c>
      <c r="BR22" s="530">
        <f t="shared" si="17"/>
        <v>165.22253531858431</v>
      </c>
      <c r="BS22" s="299">
        <f t="shared" si="18"/>
        <v>16.456427999999999</v>
      </c>
      <c r="BV22" s="20"/>
      <c r="BW22" s="235"/>
      <c r="BX22" s="235"/>
      <c r="BY22" s="235"/>
      <c r="BZ22" s="235"/>
      <c r="CA22" s="235"/>
      <c r="CB22" s="235"/>
      <c r="CC22" s="235"/>
      <c r="CD22" s="235"/>
      <c r="CH22" s="294">
        <f t="shared" si="105"/>
        <v>19</v>
      </c>
      <c r="CI22" s="95">
        <f t="shared" si="20"/>
        <v>19</v>
      </c>
      <c r="CJ22" s="17" t="s">
        <v>422</v>
      </c>
      <c r="CK22" s="301">
        <f t="shared" si="21"/>
        <v>4.4907037041348994E-7</v>
      </c>
      <c r="CL22" s="303">
        <f t="shared" si="22"/>
        <v>2.8186948002947827</v>
      </c>
      <c r="CM22" s="301">
        <f t="shared" si="23"/>
        <v>1.1834326245883543E-5</v>
      </c>
      <c r="CN22" s="303">
        <f t="shared" si="24"/>
        <v>247.69894353758778</v>
      </c>
      <c r="CO22" s="303">
        <f t="shared" si="25"/>
        <v>250.51763833788257</v>
      </c>
      <c r="CP22" s="301">
        <f t="shared" si="26"/>
        <v>9.2077422519205021E-6</v>
      </c>
      <c r="CQ22" s="299">
        <f t="shared" si="27"/>
        <v>24.951955999999999</v>
      </c>
      <c r="DD22" s="20"/>
      <c r="DG22" s="773">
        <f t="shared" si="106"/>
        <v>19</v>
      </c>
      <c r="DH22" s="786">
        <f t="shared" si="29"/>
        <v>19</v>
      </c>
      <c r="DI22" s="17" t="s">
        <v>422</v>
      </c>
      <c r="DJ22" s="301">
        <f t="shared" si="30"/>
        <v>9.2077422519205021E-6</v>
      </c>
      <c r="DK22" s="303">
        <f t="shared" si="31"/>
        <v>2.9247840899237847</v>
      </c>
      <c r="DL22" s="301">
        <f t="shared" si="32"/>
        <v>1.1834326245883543E-5</v>
      </c>
      <c r="DM22" s="303">
        <f t="shared" si="33"/>
        <v>42.389045344206757</v>
      </c>
      <c r="DN22" s="301">
        <f t="shared" si="34"/>
        <v>4.4907037041348994E-7</v>
      </c>
      <c r="DO22" s="303">
        <f t="shared" si="35"/>
        <v>1.9607515125748802</v>
      </c>
      <c r="DP22" s="303">
        <f t="shared" si="78"/>
        <v>47.27458094670542</v>
      </c>
      <c r="DQ22" s="301">
        <f t="shared" si="36"/>
        <v>5.7193253002611457E-6</v>
      </c>
      <c r="DR22" s="299">
        <f t="shared" si="37"/>
        <v>4.7086240000000004</v>
      </c>
      <c r="DV22" s="773">
        <f t="shared" si="107"/>
        <v>19</v>
      </c>
      <c r="DW22" s="786">
        <f t="shared" si="38"/>
        <v>19</v>
      </c>
      <c r="DX22" s="17" t="s">
        <v>422</v>
      </c>
      <c r="DY22" s="301">
        <f t="shared" si="39"/>
        <v>1.1834326245883543E-5</v>
      </c>
      <c r="DZ22" s="303">
        <f t="shared" si="40"/>
        <v>51.349167033049916</v>
      </c>
      <c r="EA22" s="299">
        <f t="shared" si="41"/>
        <v>5.1144590000000001</v>
      </c>
      <c r="EM22" s="773">
        <f t="shared" si="108"/>
        <v>19</v>
      </c>
      <c r="EN22" s="786">
        <f t="shared" si="42"/>
        <v>19</v>
      </c>
      <c r="EO22" s="17" t="s">
        <v>422</v>
      </c>
      <c r="EP22" s="301">
        <f t="shared" si="43"/>
        <v>1.2437251128051551E-5</v>
      </c>
      <c r="EQ22" s="303">
        <f t="shared" si="44"/>
        <v>103.8505342685026</v>
      </c>
      <c r="ER22" s="301">
        <f t="shared" si="45"/>
        <v>9.2077422519205021E-6</v>
      </c>
      <c r="ES22" s="303">
        <f t="shared" si="46"/>
        <v>10.093732186043971</v>
      </c>
      <c r="ET22" s="301">
        <f t="shared" si="47"/>
        <v>4.4907037041348994E-7</v>
      </c>
      <c r="EU22" s="303">
        <f t="shared" si="48"/>
        <v>1.9206993835768713</v>
      </c>
      <c r="EV22" s="303">
        <f t="shared" si="49"/>
        <v>115.86496583812344</v>
      </c>
      <c r="EW22" s="301">
        <f t="shared" si="50"/>
        <v>8.4429759849040734E-6</v>
      </c>
      <c r="EX22" s="299">
        <f t="shared" si="51"/>
        <v>11.540335000000001</v>
      </c>
      <c r="FH22" s="773">
        <f t="shared" si="109"/>
        <v>19</v>
      </c>
      <c r="FI22" s="774">
        <f t="shared" si="52"/>
        <v>19</v>
      </c>
      <c r="FJ22" s="17" t="s">
        <v>422</v>
      </c>
      <c r="FK22" s="301">
        <f t="shared" si="53"/>
        <v>1.2437251128051551E-5</v>
      </c>
      <c r="FL22" s="303">
        <f t="shared" si="54"/>
        <v>276.39137829413926</v>
      </c>
      <c r="FM22" s="299">
        <f t="shared" si="55"/>
        <v>27.529022000000001</v>
      </c>
      <c r="FQ22" s="294">
        <f t="shared" si="79"/>
        <v>19</v>
      </c>
      <c r="FR22" s="774">
        <v>19</v>
      </c>
      <c r="FS22" s="17" t="s">
        <v>422</v>
      </c>
      <c r="FT22" s="303">
        <f t="shared" si="80"/>
        <v>773.95066872607208</v>
      </c>
      <c r="FU22" s="303">
        <f t="shared" si="56"/>
        <v>165.22253531858431</v>
      </c>
      <c r="FV22" s="303">
        <f t="shared" si="57"/>
        <v>250.51763833788257</v>
      </c>
      <c r="FW22" s="303">
        <f t="shared" si="58"/>
        <v>47.27458094670542</v>
      </c>
      <c r="FX22" s="303">
        <f t="shared" si="59"/>
        <v>51.349167033049916</v>
      </c>
      <c r="FY22" s="303">
        <f t="shared" si="60"/>
        <v>115.86496583812344</v>
      </c>
      <c r="FZ22" s="303">
        <f t="shared" si="61"/>
        <v>276.39137829413926</v>
      </c>
      <c r="GA22" s="303">
        <f t="shared" si="62"/>
        <v>1680.5709344945569</v>
      </c>
      <c r="GB22" s="381">
        <f t="shared" si="63"/>
        <v>167.38754299999999</v>
      </c>
      <c r="GF22" s="773">
        <f t="shared" si="81"/>
        <v>19</v>
      </c>
      <c r="GG22" s="774">
        <f t="shared" si="64"/>
        <v>19</v>
      </c>
      <c r="GH22" s="17" t="s">
        <v>422</v>
      </c>
      <c r="GI22" s="299">
        <f t="shared" si="82"/>
        <v>77.08672</v>
      </c>
      <c r="GJ22" s="299">
        <f t="shared" si="65"/>
        <v>16.456427999999999</v>
      </c>
      <c r="GK22" s="299">
        <f t="shared" si="66"/>
        <v>24.951955999999999</v>
      </c>
      <c r="GL22" s="299">
        <f t="shared" si="67"/>
        <v>4.7086240000000004</v>
      </c>
      <c r="GM22" s="299">
        <f t="shared" si="68"/>
        <v>5.1144590000000001</v>
      </c>
      <c r="GN22" s="299">
        <f t="shared" si="69"/>
        <v>11.540335000000001</v>
      </c>
      <c r="GO22" s="299">
        <f t="shared" si="70"/>
        <v>27.529022000000001</v>
      </c>
      <c r="GP22" s="299">
        <f t="shared" si="71"/>
        <v>167.38754299999999</v>
      </c>
      <c r="GQ22" s="427">
        <v>1004</v>
      </c>
      <c r="GR22" s="755"/>
      <c r="GU22" s="294">
        <f t="shared" si="83"/>
        <v>19</v>
      </c>
      <c r="GV22" s="774">
        <f>FR22</f>
        <v>19</v>
      </c>
      <c r="GW22" s="17" t="s">
        <v>422</v>
      </c>
      <c r="GX22" s="278" t="s">
        <v>385</v>
      </c>
      <c r="GY22" s="303">
        <f>GA22</f>
        <v>1680.5709344945569</v>
      </c>
      <c r="GZ22" s="427">
        <f>VLOOKUP(GV22,$GG$4:$GQ$28,$GZ$35,FALSE)</f>
        <v>1004</v>
      </c>
      <c r="HA22" s="299">
        <f t="shared" si="84"/>
        <v>167.38754299999999</v>
      </c>
      <c r="HB22" s="303">
        <f t="shared" si="72"/>
        <v>1680.5709317199999</v>
      </c>
      <c r="HC22" s="788">
        <f t="shared" si="73"/>
        <v>-2.7745570605475223E-6</v>
      </c>
      <c r="HD22" s="789"/>
      <c r="HG22" s="789"/>
      <c r="HH22" s="789"/>
      <c r="HI22" s="789"/>
      <c r="HJ22" s="789"/>
      <c r="HK22" s="789"/>
      <c r="HL22" s="789"/>
      <c r="HM22" s="789"/>
      <c r="HP22" s="773">
        <f t="shared" si="110"/>
        <v>19</v>
      </c>
      <c r="HQ22" s="792">
        <f>FR22</f>
        <v>19</v>
      </c>
      <c r="HR22" s="17" t="s">
        <v>422</v>
      </c>
      <c r="HS22" s="427">
        <v>1004</v>
      </c>
      <c r="HT22" s="793">
        <f t="shared" si="85"/>
        <v>167.38754299999999</v>
      </c>
      <c r="HU22" s="793">
        <v>205.898</v>
      </c>
      <c r="HV22" s="783">
        <f t="shared" si="86"/>
        <v>-0.1870365763630536</v>
      </c>
      <c r="HW22" s="793">
        <f t="shared" si="87"/>
        <v>-38.510457000000002</v>
      </c>
      <c r="HX22" s="785">
        <v>10</v>
      </c>
      <c r="IO22" s="773">
        <f t="shared" si="111"/>
        <v>19</v>
      </c>
      <c r="IP22" s="792">
        <v>19</v>
      </c>
      <c r="IQ22" s="17" t="s">
        <v>422</v>
      </c>
      <c r="IR22" s="799">
        <f t="shared" si="88"/>
        <v>1680.5709344945569</v>
      </c>
      <c r="IS22" s="800">
        <f t="shared" si="88"/>
        <v>1004</v>
      </c>
      <c r="IT22" s="801">
        <f t="shared" si="88"/>
        <v>167.38754299999999</v>
      </c>
      <c r="IU22" s="427">
        <f t="shared" si="89"/>
        <v>143.72645518495833</v>
      </c>
      <c r="IV22" s="427">
        <f t="shared" si="90"/>
        <v>860.27354481504165</v>
      </c>
      <c r="IW22" s="799">
        <f t="shared" si="91"/>
        <v>2.1558968277743746</v>
      </c>
      <c r="IX22" s="799">
        <f t="shared" si="92"/>
        <v>1678.4150376667826</v>
      </c>
      <c r="IY22" s="670">
        <f t="shared" si="93"/>
        <v>167.17281251661183</v>
      </c>
      <c r="IZ22" s="670">
        <f>IY22+1.5</f>
        <v>168.67281251661183</v>
      </c>
      <c r="JA22" s="799">
        <f t="shared" si="95"/>
        <v>1680.5709344945569</v>
      </c>
      <c r="JB22" s="381">
        <f t="shared" si="96"/>
        <v>0.21473048338816625</v>
      </c>
      <c r="JF22" s="773">
        <f t="shared" si="112"/>
        <v>19</v>
      </c>
      <c r="JG22" s="792">
        <f>FR22</f>
        <v>19</v>
      </c>
      <c r="JH22" s="17" t="s">
        <v>422</v>
      </c>
      <c r="JI22" s="427">
        <v>1004</v>
      </c>
      <c r="JJ22" s="793">
        <f t="shared" si="97"/>
        <v>167.17281251661183</v>
      </c>
      <c r="JK22" s="793">
        <v>205.679</v>
      </c>
      <c r="JL22" s="783">
        <f t="shared" si="114"/>
        <v>-0.18721496838952045</v>
      </c>
      <c r="JM22" s="793">
        <f t="shared" si="99"/>
        <v>-38.506187483388175</v>
      </c>
      <c r="JN22" s="785">
        <v>10</v>
      </c>
    </row>
    <row r="23" spans="2:275" x14ac:dyDescent="0.3">
      <c r="I23" s="294">
        <f t="shared" si="100"/>
        <v>20</v>
      </c>
      <c r="J23" s="772">
        <f t="shared" si="1"/>
        <v>20</v>
      </c>
      <c r="K23" s="17" t="s">
        <v>423</v>
      </c>
      <c r="L23" s="427">
        <v>516792</v>
      </c>
      <c r="M23" s="301">
        <f t="shared" si="2"/>
        <v>2.3115136938917162E-4</v>
      </c>
      <c r="N23" s="427">
        <v>729.6</v>
      </c>
      <c r="O23" s="427">
        <f t="shared" si="74"/>
        <v>708.3223684210526</v>
      </c>
      <c r="P23" s="301">
        <f t="shared" si="3"/>
        <v>3.8405958941929898E-4</v>
      </c>
      <c r="Q23" s="278" t="s">
        <v>389</v>
      </c>
      <c r="U23" s="773">
        <f t="shared" si="101"/>
        <v>20</v>
      </c>
      <c r="V23" s="774">
        <f t="shared" si="4"/>
        <v>20</v>
      </c>
      <c r="W23" s="17" t="s">
        <v>423</v>
      </c>
      <c r="X23" s="303">
        <f t="shared" si="75"/>
        <v>30165.121965872459</v>
      </c>
      <c r="Y23" s="301">
        <f t="shared" si="5"/>
        <v>2.912108579724738E-4</v>
      </c>
      <c r="AC23" s="773">
        <f t="shared" si="102"/>
        <v>20</v>
      </c>
      <c r="AD23" s="95">
        <v>20</v>
      </c>
      <c r="AE23" s="305" t="s">
        <v>423</v>
      </c>
      <c r="AF23" s="330">
        <v>3.91</v>
      </c>
      <c r="AP23" s="773">
        <f t="shared" si="77"/>
        <v>20</v>
      </c>
      <c r="AQ23" s="779">
        <f t="shared" si="6"/>
        <v>20</v>
      </c>
      <c r="AR23" s="17" t="s">
        <v>423</v>
      </c>
      <c r="AS23" s="17">
        <f t="shared" si="7"/>
        <v>3.91</v>
      </c>
      <c r="AT23" s="780">
        <v>516792</v>
      </c>
      <c r="AU23" s="780">
        <f t="shared" si="103"/>
        <v>561.29353333333336</v>
      </c>
      <c r="AV23" s="781">
        <f t="shared" si="8"/>
        <v>552.12670622071005</v>
      </c>
      <c r="AW23" s="782">
        <f t="shared" si="9"/>
        <v>21.511220758941374</v>
      </c>
      <c r="AX23" s="303">
        <f t="shared" si="113"/>
        <v>11876.919464420864</v>
      </c>
      <c r="AY23" s="301">
        <f t="shared" si="10"/>
        <v>2.6372780814064978E-4</v>
      </c>
      <c r="AZ23" s="299">
        <f t="shared" si="11"/>
        <v>2.2982010000000002</v>
      </c>
      <c r="BK23" s="294">
        <f t="shared" si="104"/>
        <v>20</v>
      </c>
      <c r="BL23" s="278">
        <f t="shared" si="12"/>
        <v>20</v>
      </c>
      <c r="BM23" s="17" t="s">
        <v>423</v>
      </c>
      <c r="BN23" s="301">
        <f t="shared" si="13"/>
        <v>2.6372780814064978E-4</v>
      </c>
      <c r="BO23" s="303">
        <f t="shared" si="14"/>
        <v>2470.9114653243219</v>
      </c>
      <c r="BP23" s="301">
        <f t="shared" si="15"/>
        <v>2.3115136938917162E-4</v>
      </c>
      <c r="BQ23" s="303">
        <f t="shared" si="16"/>
        <v>2165.6971742036276</v>
      </c>
      <c r="BR23" s="530">
        <f t="shared" si="17"/>
        <v>4636.608639527949</v>
      </c>
      <c r="BS23" s="299">
        <f t="shared" si="18"/>
        <v>0.89719000000000004</v>
      </c>
      <c r="BV23" s="20"/>
      <c r="BW23" s="235"/>
      <c r="BX23" s="235"/>
      <c r="BY23" s="235"/>
      <c r="BZ23" s="235"/>
      <c r="CA23" s="235"/>
      <c r="CB23" s="235"/>
      <c r="CC23" s="235"/>
      <c r="CD23" s="235"/>
      <c r="CH23" s="294">
        <f t="shared" si="105"/>
        <v>20</v>
      </c>
      <c r="CI23" s="95">
        <f t="shared" si="20"/>
        <v>20</v>
      </c>
      <c r="CJ23" s="17" t="s">
        <v>423</v>
      </c>
      <c r="CK23" s="301">
        <f t="shared" si="21"/>
        <v>2.3115136938917162E-4</v>
      </c>
      <c r="CL23" s="303">
        <f t="shared" si="22"/>
        <v>1450.8754215477504</v>
      </c>
      <c r="CM23" s="301">
        <f t="shared" si="23"/>
        <v>3.8405958941929898E-4</v>
      </c>
      <c r="CN23" s="303">
        <f t="shared" si="24"/>
        <v>8038.5779957461073</v>
      </c>
      <c r="CO23" s="303">
        <f t="shared" si="25"/>
        <v>9489.4534172938584</v>
      </c>
      <c r="CP23" s="301">
        <f t="shared" si="26"/>
        <v>3.4878358968161818E-4</v>
      </c>
      <c r="CQ23" s="299">
        <f t="shared" si="27"/>
        <v>1.8362229999999999</v>
      </c>
      <c r="DD23" s="20"/>
      <c r="DG23" s="773">
        <f t="shared" si="106"/>
        <v>20</v>
      </c>
      <c r="DH23" s="786">
        <f t="shared" si="29"/>
        <v>20</v>
      </c>
      <c r="DI23" s="17" t="s">
        <v>423</v>
      </c>
      <c r="DJ23" s="301">
        <f t="shared" si="30"/>
        <v>3.4878358968161818E-4</v>
      </c>
      <c r="DK23" s="303">
        <f t="shared" si="31"/>
        <v>110.7890149416956</v>
      </c>
      <c r="DL23" s="301">
        <f t="shared" si="32"/>
        <v>3.8405958941929898E-4</v>
      </c>
      <c r="DM23" s="303">
        <f t="shared" si="33"/>
        <v>1375.6524040762276</v>
      </c>
      <c r="DN23" s="301">
        <f t="shared" si="34"/>
        <v>2.3115136938917162E-4</v>
      </c>
      <c r="DO23" s="303">
        <f t="shared" si="35"/>
        <v>1009.2636411221091</v>
      </c>
      <c r="DP23" s="303">
        <f t="shared" si="78"/>
        <v>2495.7050601400324</v>
      </c>
      <c r="DQ23" s="301">
        <f t="shared" si="36"/>
        <v>3.0193285284834222E-4</v>
      </c>
      <c r="DR23" s="299">
        <f t="shared" si="37"/>
        <v>0.48292299999999999</v>
      </c>
      <c r="DV23" s="773">
        <f t="shared" si="107"/>
        <v>20</v>
      </c>
      <c r="DW23" s="786">
        <f t="shared" si="38"/>
        <v>20</v>
      </c>
      <c r="DX23" s="17" t="s">
        <v>423</v>
      </c>
      <c r="DY23" s="301">
        <f t="shared" si="39"/>
        <v>3.8405958941929898E-4</v>
      </c>
      <c r="DZ23" s="303">
        <f t="shared" si="40"/>
        <v>1666.435384489756</v>
      </c>
      <c r="EA23" s="299">
        <f t="shared" si="41"/>
        <v>0.32245800000000002</v>
      </c>
      <c r="EM23" s="773">
        <f t="shared" si="108"/>
        <v>20</v>
      </c>
      <c r="EN23" s="786">
        <f t="shared" si="42"/>
        <v>20</v>
      </c>
      <c r="EO23" s="17" t="s">
        <v>423</v>
      </c>
      <c r="EP23" s="301">
        <f t="shared" si="43"/>
        <v>2.912108579724738E-4</v>
      </c>
      <c r="EQ23" s="303">
        <f t="shared" si="44"/>
        <v>2431.5986606574443</v>
      </c>
      <c r="ER23" s="301">
        <f t="shared" si="45"/>
        <v>3.4878358968161818E-4</v>
      </c>
      <c r="ES23" s="303">
        <f t="shared" si="46"/>
        <v>382.34434118733179</v>
      </c>
      <c r="ET23" s="301">
        <f t="shared" si="47"/>
        <v>2.3115136938917162E-4</v>
      </c>
      <c r="EU23" s="303">
        <f t="shared" si="48"/>
        <v>988.64748589388307</v>
      </c>
      <c r="EV23" s="303">
        <f t="shared" si="49"/>
        <v>3802.5904877386592</v>
      </c>
      <c r="EW23" s="301">
        <f t="shared" si="50"/>
        <v>2.7709135316413729E-4</v>
      </c>
      <c r="EX23" s="299">
        <f t="shared" si="51"/>
        <v>0.73580699999999999</v>
      </c>
      <c r="FH23" s="773">
        <f t="shared" si="109"/>
        <v>20</v>
      </c>
      <c r="FI23" s="774">
        <f t="shared" si="52"/>
        <v>20</v>
      </c>
      <c r="FJ23" s="17" t="s">
        <v>423</v>
      </c>
      <c r="FK23" s="301">
        <f t="shared" si="53"/>
        <v>2.912108579724738E-4</v>
      </c>
      <c r="FL23" s="303">
        <f t="shared" si="54"/>
        <v>6471.5401804257308</v>
      </c>
      <c r="FM23" s="299">
        <f t="shared" si="55"/>
        <v>1.2522519999999999</v>
      </c>
      <c r="FQ23" s="294">
        <f t="shared" si="79"/>
        <v>20</v>
      </c>
      <c r="FR23" s="774">
        <v>20</v>
      </c>
      <c r="FS23" s="17" t="s">
        <v>423</v>
      </c>
      <c r="FT23" s="303">
        <f t="shared" si="80"/>
        <v>11876.919464420864</v>
      </c>
      <c r="FU23" s="303">
        <f t="shared" si="56"/>
        <v>4636.608639527949</v>
      </c>
      <c r="FV23" s="303">
        <f t="shared" si="57"/>
        <v>9489.4534172938584</v>
      </c>
      <c r="FW23" s="303">
        <f t="shared" si="58"/>
        <v>2495.7050601400324</v>
      </c>
      <c r="FX23" s="303">
        <f t="shared" si="59"/>
        <v>1666.435384489756</v>
      </c>
      <c r="FY23" s="303">
        <f t="shared" si="60"/>
        <v>3802.5904877386592</v>
      </c>
      <c r="FZ23" s="303">
        <f t="shared" si="61"/>
        <v>6471.5401804257308</v>
      </c>
      <c r="GA23" s="303">
        <f t="shared" si="62"/>
        <v>40439.252634036849</v>
      </c>
      <c r="GB23" s="381">
        <f t="shared" si="63"/>
        <v>7.8250539999999997</v>
      </c>
      <c r="GF23" s="773">
        <f t="shared" si="81"/>
        <v>20</v>
      </c>
      <c r="GG23" s="774">
        <f t="shared" si="64"/>
        <v>20</v>
      </c>
      <c r="GH23" s="17" t="s">
        <v>423</v>
      </c>
      <c r="GI23" s="299">
        <f t="shared" si="82"/>
        <v>2.2982010000000002</v>
      </c>
      <c r="GJ23" s="299">
        <f t="shared" si="65"/>
        <v>0.89719000000000004</v>
      </c>
      <c r="GK23" s="299">
        <f t="shared" si="66"/>
        <v>1.8362229999999999</v>
      </c>
      <c r="GL23" s="299">
        <f t="shared" si="67"/>
        <v>0.48292299999999999</v>
      </c>
      <c r="GM23" s="299">
        <f t="shared" si="68"/>
        <v>0.32245800000000002</v>
      </c>
      <c r="GN23" s="299">
        <f t="shared" si="69"/>
        <v>0.73580699999999999</v>
      </c>
      <c r="GO23" s="299">
        <f t="shared" si="70"/>
        <v>1.2522519999999999</v>
      </c>
      <c r="GP23" s="299">
        <f t="shared" si="71"/>
        <v>7.8250539999999997</v>
      </c>
      <c r="GQ23" s="427">
        <v>516792</v>
      </c>
      <c r="GR23" s="755"/>
      <c r="GU23" s="294">
        <f t="shared" si="83"/>
        <v>20</v>
      </c>
      <c r="GV23" s="774">
        <f>FR23</f>
        <v>20</v>
      </c>
      <c r="GW23" s="17" t="s">
        <v>423</v>
      </c>
      <c r="GX23" s="278" t="s">
        <v>389</v>
      </c>
      <c r="GY23" s="303">
        <f>GA23</f>
        <v>40439.252634036849</v>
      </c>
      <c r="GZ23" s="427">
        <f>VLOOKUP(GV23,$GG$4:$GQ$28,$GZ$35,FALSE)</f>
        <v>516792</v>
      </c>
      <c r="HA23" s="299">
        <f t="shared" si="84"/>
        <v>7.8250539999999997</v>
      </c>
      <c r="HB23" s="303">
        <f t="shared" si="72"/>
        <v>40439.253067679994</v>
      </c>
      <c r="HC23" s="788">
        <f t="shared" si="73"/>
        <v>4.3364314478822052E-4</v>
      </c>
      <c r="HD23" s="789"/>
      <c r="HG23" s="789"/>
      <c r="HH23" s="789"/>
      <c r="HI23" s="789"/>
      <c r="HJ23" s="789"/>
      <c r="HK23" s="789"/>
      <c r="HL23" s="789"/>
      <c r="HM23" s="789"/>
      <c r="HP23" s="773">
        <f t="shared" si="110"/>
        <v>20</v>
      </c>
      <c r="HQ23" s="792">
        <f>FR23</f>
        <v>20</v>
      </c>
      <c r="HR23" s="17" t="s">
        <v>423</v>
      </c>
      <c r="HS23" s="427">
        <v>516792</v>
      </c>
      <c r="HT23" s="793">
        <f t="shared" si="85"/>
        <v>7.8250539999999997</v>
      </c>
      <c r="HU23" s="793">
        <v>8.3000000000000007</v>
      </c>
      <c r="HV23" s="783">
        <f t="shared" si="86"/>
        <v>-5.7222409638554295E-2</v>
      </c>
      <c r="HW23" s="793">
        <f t="shared" si="87"/>
        <v>-0.47494600000000098</v>
      </c>
      <c r="HX23" s="785">
        <v>10</v>
      </c>
      <c r="IO23" s="773">
        <f t="shared" si="111"/>
        <v>20</v>
      </c>
      <c r="IP23" s="792">
        <v>20</v>
      </c>
      <c r="IQ23" s="17" t="s">
        <v>423</v>
      </c>
      <c r="IR23" s="799">
        <f t="shared" si="88"/>
        <v>40439.252634036849</v>
      </c>
      <c r="IS23" s="800">
        <f t="shared" si="88"/>
        <v>516792</v>
      </c>
      <c r="IT23" s="801">
        <f t="shared" si="88"/>
        <v>7.8250539999999997</v>
      </c>
      <c r="IU23" s="427">
        <v>0</v>
      </c>
      <c r="IV23" s="427">
        <f t="shared" si="90"/>
        <v>516792</v>
      </c>
      <c r="IW23" s="799">
        <f t="shared" si="91"/>
        <v>0</v>
      </c>
      <c r="IX23" s="799">
        <f t="shared" si="92"/>
        <v>40439.252634036849</v>
      </c>
      <c r="IY23" s="670">
        <f>IT23</f>
        <v>7.8250539999999997</v>
      </c>
      <c r="IZ23" s="670">
        <f t="shared" ref="IZ23:IZ25" si="116">IY23</f>
        <v>7.8250539999999997</v>
      </c>
      <c r="JA23" s="799">
        <f t="shared" si="95"/>
        <v>40439.253067679994</v>
      </c>
      <c r="JB23" s="381">
        <f t="shared" si="96"/>
        <v>0</v>
      </c>
      <c r="JF23" s="773">
        <f t="shared" si="112"/>
        <v>20</v>
      </c>
      <c r="JG23" s="792">
        <f>FR23</f>
        <v>20</v>
      </c>
      <c r="JH23" s="17" t="s">
        <v>423</v>
      </c>
      <c r="JI23" s="427">
        <v>516792</v>
      </c>
      <c r="JJ23" s="793">
        <f t="shared" si="97"/>
        <v>7.8250539999999997</v>
      </c>
      <c r="JK23" s="793">
        <v>8.3000000000000007</v>
      </c>
      <c r="JL23" s="783">
        <f t="shared" si="114"/>
        <v>-5.7222409638554295E-2</v>
      </c>
      <c r="JM23" s="793">
        <f t="shared" si="99"/>
        <v>-0.47494600000000098</v>
      </c>
      <c r="JN23" s="785">
        <v>10</v>
      </c>
    </row>
    <row r="24" spans="2:275" x14ac:dyDescent="0.3">
      <c r="I24" s="294">
        <f t="shared" si="100"/>
        <v>21</v>
      </c>
      <c r="J24" s="772">
        <f t="shared" si="1"/>
        <v>21</v>
      </c>
      <c r="K24" s="17" t="s">
        <v>402</v>
      </c>
      <c r="L24" s="427">
        <v>0</v>
      </c>
      <c r="M24" s="301">
        <f t="shared" si="2"/>
        <v>0</v>
      </c>
      <c r="N24" s="427">
        <v>943.5</v>
      </c>
      <c r="O24" s="427">
        <f t="shared" si="74"/>
        <v>0</v>
      </c>
      <c r="P24" s="301">
        <f t="shared" si="3"/>
        <v>0</v>
      </c>
      <c r="Q24" s="278" t="s">
        <v>385</v>
      </c>
      <c r="U24" s="773">
        <f t="shared" si="101"/>
        <v>21</v>
      </c>
      <c r="V24" s="774">
        <f t="shared" si="4"/>
        <v>21</v>
      </c>
      <c r="W24" s="17" t="s">
        <v>402</v>
      </c>
      <c r="X24" s="303">
        <f t="shared" si="75"/>
        <v>0</v>
      </c>
      <c r="Y24" s="301">
        <f t="shared" si="5"/>
        <v>0</v>
      </c>
      <c r="AC24" s="773">
        <f t="shared" si="102"/>
        <v>21</v>
      </c>
      <c r="AD24" s="95">
        <v>21</v>
      </c>
      <c r="AE24" s="305" t="s">
        <v>402</v>
      </c>
      <c r="AF24" s="330">
        <v>14.486666666666666</v>
      </c>
      <c r="AP24" s="773">
        <f t="shared" si="77"/>
        <v>21</v>
      </c>
      <c r="AQ24" s="779">
        <f t="shared" si="6"/>
        <v>21</v>
      </c>
      <c r="AR24" s="17" t="s">
        <v>402</v>
      </c>
      <c r="AS24" s="17">
        <f t="shared" si="7"/>
        <v>14.486666666666666</v>
      </c>
      <c r="AT24" s="780">
        <v>0</v>
      </c>
      <c r="AU24" s="780">
        <f t="shared" si="103"/>
        <v>0</v>
      </c>
      <c r="AV24" s="781">
        <f t="shared" si="8"/>
        <v>0</v>
      </c>
      <c r="AW24" s="782">
        <f t="shared" si="9"/>
        <v>21.511220758941374</v>
      </c>
      <c r="AX24" s="303">
        <f t="shared" si="113"/>
        <v>0</v>
      </c>
      <c r="AY24" s="301">
        <f t="shared" si="10"/>
        <v>0</v>
      </c>
      <c r="AZ24" s="299">
        <f t="shared" si="11"/>
        <v>0</v>
      </c>
      <c r="BK24" s="294">
        <f t="shared" si="104"/>
        <v>21</v>
      </c>
      <c r="BL24" s="278">
        <f t="shared" si="12"/>
        <v>21</v>
      </c>
      <c r="BM24" s="17" t="s">
        <v>402</v>
      </c>
      <c r="BN24" s="301">
        <f t="shared" si="13"/>
        <v>0</v>
      </c>
      <c r="BO24" s="303">
        <f t="shared" si="14"/>
        <v>0</v>
      </c>
      <c r="BP24" s="301">
        <f t="shared" si="15"/>
        <v>0</v>
      </c>
      <c r="BQ24" s="303">
        <f t="shared" si="16"/>
        <v>0</v>
      </c>
      <c r="BR24" s="530">
        <f t="shared" si="17"/>
        <v>0</v>
      </c>
      <c r="BS24" s="299">
        <f t="shared" si="18"/>
        <v>0</v>
      </c>
      <c r="BV24" s="20"/>
      <c r="BW24" s="235"/>
      <c r="BX24" s="235"/>
      <c r="BY24" s="235"/>
      <c r="BZ24" s="235"/>
      <c r="CA24" s="235"/>
      <c r="CB24" s="235"/>
      <c r="CC24" s="235"/>
      <c r="CD24" s="235"/>
      <c r="CH24" s="294">
        <f t="shared" si="105"/>
        <v>21</v>
      </c>
      <c r="CI24" s="95">
        <f t="shared" si="20"/>
        <v>21</v>
      </c>
      <c r="CJ24" s="17" t="s">
        <v>402</v>
      </c>
      <c r="CK24" s="301">
        <f t="shared" si="21"/>
        <v>0</v>
      </c>
      <c r="CL24" s="303">
        <f t="shared" si="22"/>
        <v>0</v>
      </c>
      <c r="CM24" s="301">
        <f t="shared" si="23"/>
        <v>0</v>
      </c>
      <c r="CN24" s="303">
        <f t="shared" si="24"/>
        <v>0</v>
      </c>
      <c r="CO24" s="303">
        <f t="shared" si="25"/>
        <v>0</v>
      </c>
      <c r="CP24" s="301">
        <f t="shared" si="26"/>
        <v>0</v>
      </c>
      <c r="CQ24" s="299">
        <f t="shared" si="27"/>
        <v>0</v>
      </c>
      <c r="DD24" s="20"/>
      <c r="DG24" s="773">
        <f t="shared" si="106"/>
        <v>21</v>
      </c>
      <c r="DH24" s="786">
        <f t="shared" si="29"/>
        <v>21</v>
      </c>
      <c r="DI24" s="17" t="s">
        <v>402</v>
      </c>
      <c r="DJ24" s="301">
        <f t="shared" si="30"/>
        <v>0</v>
      </c>
      <c r="DK24" s="303">
        <f t="shared" si="31"/>
        <v>0</v>
      </c>
      <c r="DL24" s="301">
        <f t="shared" si="32"/>
        <v>0</v>
      </c>
      <c r="DM24" s="303">
        <f t="shared" si="33"/>
        <v>0</v>
      </c>
      <c r="DN24" s="301">
        <f t="shared" si="34"/>
        <v>0</v>
      </c>
      <c r="DO24" s="303">
        <f t="shared" si="35"/>
        <v>0</v>
      </c>
      <c r="DP24" s="303">
        <f t="shared" si="78"/>
        <v>0</v>
      </c>
      <c r="DQ24" s="301">
        <f t="shared" si="36"/>
        <v>0</v>
      </c>
      <c r="DR24" s="299">
        <f t="shared" si="37"/>
        <v>0</v>
      </c>
      <c r="DV24" s="773">
        <f t="shared" si="107"/>
        <v>21</v>
      </c>
      <c r="DW24" s="786">
        <f t="shared" si="38"/>
        <v>21</v>
      </c>
      <c r="DX24" s="17" t="s">
        <v>402</v>
      </c>
      <c r="DY24" s="301">
        <f t="shared" si="39"/>
        <v>0</v>
      </c>
      <c r="DZ24" s="303">
        <f t="shared" si="40"/>
        <v>0</v>
      </c>
      <c r="EA24" s="299">
        <f t="shared" si="41"/>
        <v>0</v>
      </c>
      <c r="EM24" s="773">
        <f t="shared" si="108"/>
        <v>21</v>
      </c>
      <c r="EN24" s="786">
        <f t="shared" si="42"/>
        <v>21</v>
      </c>
      <c r="EO24" s="17" t="s">
        <v>402</v>
      </c>
      <c r="EP24" s="301">
        <f t="shared" si="43"/>
        <v>0</v>
      </c>
      <c r="EQ24" s="303">
        <f t="shared" si="44"/>
        <v>0</v>
      </c>
      <c r="ER24" s="301">
        <f t="shared" si="45"/>
        <v>0</v>
      </c>
      <c r="ES24" s="303">
        <f t="shared" si="46"/>
        <v>0</v>
      </c>
      <c r="ET24" s="301">
        <f t="shared" si="47"/>
        <v>0</v>
      </c>
      <c r="EU24" s="303">
        <f t="shared" si="48"/>
        <v>0</v>
      </c>
      <c r="EV24" s="303">
        <f t="shared" si="49"/>
        <v>0</v>
      </c>
      <c r="EW24" s="301">
        <f t="shared" si="50"/>
        <v>0</v>
      </c>
      <c r="EX24" s="299">
        <f t="shared" si="51"/>
        <v>0</v>
      </c>
      <c r="FH24" s="773">
        <f t="shared" si="109"/>
        <v>21</v>
      </c>
      <c r="FI24" s="774">
        <f t="shared" si="52"/>
        <v>21</v>
      </c>
      <c r="FJ24" s="17" t="s">
        <v>402</v>
      </c>
      <c r="FK24" s="301">
        <f t="shared" si="53"/>
        <v>0</v>
      </c>
      <c r="FL24" s="303">
        <f t="shared" si="54"/>
        <v>0</v>
      </c>
      <c r="FM24" s="299">
        <f t="shared" si="55"/>
        <v>0</v>
      </c>
      <c r="FQ24" s="294">
        <f t="shared" si="79"/>
        <v>21</v>
      </c>
      <c r="FR24" s="774">
        <v>21</v>
      </c>
      <c r="FS24" s="17" t="s">
        <v>402</v>
      </c>
      <c r="FT24" s="303">
        <f t="shared" si="80"/>
        <v>0</v>
      </c>
      <c r="FU24" s="303">
        <f t="shared" si="56"/>
        <v>0</v>
      </c>
      <c r="FV24" s="303">
        <f t="shared" si="57"/>
        <v>0</v>
      </c>
      <c r="FW24" s="303">
        <f t="shared" si="58"/>
        <v>0</v>
      </c>
      <c r="FX24" s="303">
        <f t="shared" si="59"/>
        <v>0</v>
      </c>
      <c r="FY24" s="303">
        <f t="shared" si="60"/>
        <v>0</v>
      </c>
      <c r="FZ24" s="303">
        <f t="shared" si="61"/>
        <v>0</v>
      </c>
      <c r="GA24" s="303">
        <f t="shared" si="62"/>
        <v>0</v>
      </c>
      <c r="GB24" s="381">
        <f t="shared" si="63"/>
        <v>0</v>
      </c>
      <c r="GF24" s="773">
        <f t="shared" si="81"/>
        <v>21</v>
      </c>
      <c r="GG24" s="774">
        <f t="shared" si="64"/>
        <v>21</v>
      </c>
      <c r="GH24" s="17" t="s">
        <v>402</v>
      </c>
      <c r="GI24" s="299">
        <f t="shared" si="82"/>
        <v>0</v>
      </c>
      <c r="GJ24" s="299">
        <f t="shared" si="65"/>
        <v>0</v>
      </c>
      <c r="GK24" s="299">
        <f t="shared" si="66"/>
        <v>0</v>
      </c>
      <c r="GL24" s="299">
        <f t="shared" si="67"/>
        <v>0</v>
      </c>
      <c r="GM24" s="299">
        <f t="shared" si="68"/>
        <v>0</v>
      </c>
      <c r="GN24" s="299">
        <f t="shared" si="69"/>
        <v>0</v>
      </c>
      <c r="GO24" s="299">
        <f t="shared" si="70"/>
        <v>0</v>
      </c>
      <c r="GP24" s="299">
        <f t="shared" si="71"/>
        <v>0</v>
      </c>
      <c r="GQ24" s="427">
        <v>0</v>
      </c>
      <c r="GR24" s="755"/>
      <c r="GU24" s="294">
        <f t="shared" si="83"/>
        <v>21</v>
      </c>
      <c r="GV24" s="774">
        <f>FR24</f>
        <v>21</v>
      </c>
      <c r="GW24" s="17" t="s">
        <v>402</v>
      </c>
      <c r="GX24" s="278" t="s">
        <v>385</v>
      </c>
      <c r="GY24" s="303">
        <f>GA24</f>
        <v>0</v>
      </c>
      <c r="GZ24" s="427">
        <f>VLOOKUP(GV24,$GG$4:$GQ$28,$GZ$35,FALSE)</f>
        <v>0</v>
      </c>
      <c r="HA24" s="299">
        <f t="shared" si="84"/>
        <v>22.96</v>
      </c>
      <c r="HB24" s="303">
        <f t="shared" si="72"/>
        <v>0</v>
      </c>
      <c r="HC24" s="788">
        <f t="shared" si="73"/>
        <v>0</v>
      </c>
      <c r="HD24" s="789"/>
      <c r="HG24" s="789"/>
      <c r="HH24" s="789"/>
      <c r="HI24" s="789"/>
      <c r="HJ24" s="789"/>
      <c r="HK24" s="789"/>
      <c r="HL24" s="789"/>
      <c r="HM24" s="789"/>
      <c r="HP24" s="773">
        <f t="shared" si="110"/>
        <v>21</v>
      </c>
      <c r="HQ24" s="792">
        <f>FR24</f>
        <v>21</v>
      </c>
      <c r="HR24" s="17" t="s">
        <v>402</v>
      </c>
      <c r="HS24" s="427">
        <v>0</v>
      </c>
      <c r="HT24" s="793">
        <f t="shared" si="85"/>
        <v>22.96</v>
      </c>
      <c r="HU24" s="793">
        <v>22.96</v>
      </c>
      <c r="HV24" s="783">
        <f t="shared" si="86"/>
        <v>0</v>
      </c>
      <c r="HW24" s="793">
        <f t="shared" si="87"/>
        <v>0</v>
      </c>
      <c r="HX24" s="785">
        <v>10</v>
      </c>
      <c r="IO24" s="773">
        <f t="shared" si="111"/>
        <v>21</v>
      </c>
      <c r="IP24" s="792">
        <v>21</v>
      </c>
      <c r="IQ24" s="17" t="s">
        <v>402</v>
      </c>
      <c r="IR24" s="799">
        <f t="shared" si="88"/>
        <v>0</v>
      </c>
      <c r="IS24" s="427">
        <f t="shared" si="88"/>
        <v>0</v>
      </c>
      <c r="IT24" s="801">
        <f t="shared" si="88"/>
        <v>22.96</v>
      </c>
      <c r="IU24" s="427">
        <f t="shared" si="89"/>
        <v>0</v>
      </c>
      <c r="IV24" s="427">
        <f t="shared" si="90"/>
        <v>0</v>
      </c>
      <c r="IW24" s="799">
        <f t="shared" si="91"/>
        <v>0</v>
      </c>
      <c r="IX24" s="799">
        <f t="shared" si="92"/>
        <v>0</v>
      </c>
      <c r="IY24" s="670">
        <f t="shared" ref="IY24:IY25" si="117">IT24</f>
        <v>22.96</v>
      </c>
      <c r="IZ24" s="670">
        <f>IY24+1.5</f>
        <v>24.46</v>
      </c>
      <c r="JA24" s="799">
        <f t="shared" si="95"/>
        <v>0</v>
      </c>
      <c r="JB24" s="381">
        <f t="shared" si="96"/>
        <v>0</v>
      </c>
      <c r="JF24" s="773">
        <f t="shared" si="112"/>
        <v>21</v>
      </c>
      <c r="JG24" s="792">
        <f>FR24</f>
        <v>21</v>
      </c>
      <c r="JH24" s="17" t="s">
        <v>402</v>
      </c>
      <c r="JI24" s="427">
        <v>0</v>
      </c>
      <c r="JJ24" s="793">
        <f t="shared" si="97"/>
        <v>22.96</v>
      </c>
      <c r="JK24" s="793">
        <v>22.96</v>
      </c>
      <c r="JL24" s="783">
        <f t="shared" si="114"/>
        <v>0</v>
      </c>
      <c r="JM24" s="793">
        <f t="shared" si="99"/>
        <v>0</v>
      </c>
      <c r="JN24" s="785">
        <v>10</v>
      </c>
    </row>
    <row r="25" spans="2:275" x14ac:dyDescent="0.3">
      <c r="I25" s="294">
        <f t="shared" si="100"/>
        <v>22</v>
      </c>
      <c r="J25" s="772">
        <f t="shared" si="1"/>
        <v>22</v>
      </c>
      <c r="K25" s="17" t="s">
        <v>424</v>
      </c>
      <c r="L25" s="427">
        <v>0</v>
      </c>
      <c r="M25" s="301">
        <f t="shared" si="2"/>
        <v>0</v>
      </c>
      <c r="N25" s="427">
        <v>10</v>
      </c>
      <c r="O25" s="427">
        <f>IFERROR(L25/N25,0)</f>
        <v>0</v>
      </c>
      <c r="P25" s="301">
        <f t="shared" si="3"/>
        <v>0</v>
      </c>
      <c r="Q25" s="278" t="s">
        <v>389</v>
      </c>
      <c r="U25" s="773">
        <f t="shared" si="101"/>
        <v>22</v>
      </c>
      <c r="V25" s="774">
        <f t="shared" si="4"/>
        <v>22</v>
      </c>
      <c r="W25" s="17" t="s">
        <v>424</v>
      </c>
      <c r="X25" s="303">
        <f t="shared" si="75"/>
        <v>0</v>
      </c>
      <c r="Y25" s="301">
        <f t="shared" si="5"/>
        <v>0</v>
      </c>
      <c r="AC25" s="773">
        <f t="shared" si="102"/>
        <v>22</v>
      </c>
      <c r="AD25" s="95">
        <v>22</v>
      </c>
      <c r="AE25" s="305" t="s">
        <v>424</v>
      </c>
      <c r="AF25" s="330">
        <v>73.19</v>
      </c>
      <c r="AP25" s="773">
        <f t="shared" si="77"/>
        <v>22</v>
      </c>
      <c r="AQ25" s="779">
        <f t="shared" si="6"/>
        <v>22</v>
      </c>
      <c r="AR25" s="17" t="s">
        <v>424</v>
      </c>
      <c r="AS25" s="17">
        <f t="shared" si="7"/>
        <v>73.19</v>
      </c>
      <c r="AT25" s="780">
        <v>0</v>
      </c>
      <c r="AU25" s="780">
        <f t="shared" si="103"/>
        <v>0</v>
      </c>
      <c r="AV25" s="781">
        <f t="shared" si="8"/>
        <v>0</v>
      </c>
      <c r="AW25" s="782">
        <f t="shared" si="9"/>
        <v>21.511220758941374</v>
      </c>
      <c r="AX25" s="303">
        <f t="shared" si="113"/>
        <v>0</v>
      </c>
      <c r="AY25" s="301">
        <f t="shared" si="10"/>
        <v>0</v>
      </c>
      <c r="AZ25" s="299">
        <f t="shared" si="11"/>
        <v>0</v>
      </c>
      <c r="BK25" s="294">
        <f t="shared" si="104"/>
        <v>22</v>
      </c>
      <c r="BL25" s="278">
        <f t="shared" si="12"/>
        <v>22</v>
      </c>
      <c r="BM25" s="17" t="s">
        <v>424</v>
      </c>
      <c r="BN25" s="301">
        <f t="shared" si="13"/>
        <v>0</v>
      </c>
      <c r="BO25" s="303">
        <f t="shared" si="14"/>
        <v>0</v>
      </c>
      <c r="BP25" s="301">
        <f t="shared" si="15"/>
        <v>0</v>
      </c>
      <c r="BQ25" s="303">
        <f t="shared" si="16"/>
        <v>0</v>
      </c>
      <c r="BR25" s="530">
        <f t="shared" si="17"/>
        <v>0</v>
      </c>
      <c r="BS25" s="299">
        <f t="shared" si="18"/>
        <v>0</v>
      </c>
      <c r="BV25" s="20"/>
      <c r="BW25" s="235"/>
      <c r="BX25" s="235"/>
      <c r="BY25" s="235"/>
      <c r="BZ25" s="235"/>
      <c r="CA25" s="235"/>
      <c r="CB25" s="235"/>
      <c r="CC25" s="235"/>
      <c r="CD25" s="235"/>
      <c r="CH25" s="294">
        <f t="shared" si="105"/>
        <v>22</v>
      </c>
      <c r="CI25" s="95">
        <f t="shared" si="20"/>
        <v>22</v>
      </c>
      <c r="CJ25" s="17" t="s">
        <v>424</v>
      </c>
      <c r="CK25" s="301">
        <f t="shared" si="21"/>
        <v>0</v>
      </c>
      <c r="CL25" s="303">
        <f t="shared" si="22"/>
        <v>0</v>
      </c>
      <c r="CM25" s="301">
        <f t="shared" si="23"/>
        <v>0</v>
      </c>
      <c r="CN25" s="303">
        <f t="shared" si="24"/>
        <v>0</v>
      </c>
      <c r="CO25" s="303">
        <f t="shared" si="25"/>
        <v>0</v>
      </c>
      <c r="CP25" s="301">
        <f t="shared" si="26"/>
        <v>0</v>
      </c>
      <c r="CQ25" s="299">
        <f t="shared" si="27"/>
        <v>0</v>
      </c>
      <c r="DD25" s="20"/>
      <c r="DG25" s="773">
        <f t="shared" si="106"/>
        <v>22</v>
      </c>
      <c r="DH25" s="786">
        <f t="shared" si="29"/>
        <v>22</v>
      </c>
      <c r="DI25" s="17" t="s">
        <v>424</v>
      </c>
      <c r="DJ25" s="301">
        <f t="shared" si="30"/>
        <v>0</v>
      </c>
      <c r="DK25" s="303">
        <f t="shared" si="31"/>
        <v>0</v>
      </c>
      <c r="DL25" s="301">
        <f t="shared" si="32"/>
        <v>0</v>
      </c>
      <c r="DM25" s="303">
        <f t="shared" si="33"/>
        <v>0</v>
      </c>
      <c r="DN25" s="301">
        <f t="shared" si="34"/>
        <v>0</v>
      </c>
      <c r="DO25" s="303">
        <f t="shared" si="35"/>
        <v>0</v>
      </c>
      <c r="DP25" s="303">
        <f t="shared" si="78"/>
        <v>0</v>
      </c>
      <c r="DQ25" s="301">
        <f t="shared" si="36"/>
        <v>0</v>
      </c>
      <c r="DR25" s="299">
        <f t="shared" si="37"/>
        <v>0</v>
      </c>
      <c r="DV25" s="773">
        <f t="shared" si="107"/>
        <v>22</v>
      </c>
      <c r="DW25" s="786">
        <f t="shared" si="38"/>
        <v>22</v>
      </c>
      <c r="DX25" s="17" t="s">
        <v>424</v>
      </c>
      <c r="DY25" s="301">
        <f t="shared" si="39"/>
        <v>0</v>
      </c>
      <c r="DZ25" s="303">
        <f t="shared" si="40"/>
        <v>0</v>
      </c>
      <c r="EA25" s="299">
        <f t="shared" si="41"/>
        <v>0</v>
      </c>
      <c r="EM25" s="773">
        <f t="shared" si="108"/>
        <v>22</v>
      </c>
      <c r="EN25" s="786">
        <f t="shared" si="42"/>
        <v>22</v>
      </c>
      <c r="EO25" s="17" t="s">
        <v>424</v>
      </c>
      <c r="EP25" s="301">
        <f t="shared" si="43"/>
        <v>0</v>
      </c>
      <c r="EQ25" s="303">
        <f t="shared" si="44"/>
        <v>0</v>
      </c>
      <c r="ER25" s="301">
        <f t="shared" si="45"/>
        <v>0</v>
      </c>
      <c r="ES25" s="303">
        <f t="shared" si="46"/>
        <v>0</v>
      </c>
      <c r="ET25" s="301">
        <f t="shared" si="47"/>
        <v>0</v>
      </c>
      <c r="EU25" s="303">
        <f t="shared" si="48"/>
        <v>0</v>
      </c>
      <c r="EV25" s="303">
        <f t="shared" si="49"/>
        <v>0</v>
      </c>
      <c r="EW25" s="301">
        <f t="shared" si="50"/>
        <v>0</v>
      </c>
      <c r="EX25" s="299">
        <f t="shared" si="51"/>
        <v>0</v>
      </c>
      <c r="FH25" s="773">
        <f t="shared" si="109"/>
        <v>22</v>
      </c>
      <c r="FI25" s="774">
        <f t="shared" si="52"/>
        <v>22</v>
      </c>
      <c r="FJ25" s="17" t="s">
        <v>424</v>
      </c>
      <c r="FK25" s="301">
        <f t="shared" si="53"/>
        <v>0</v>
      </c>
      <c r="FL25" s="303">
        <f t="shared" si="54"/>
        <v>0</v>
      </c>
      <c r="FM25" s="299">
        <f t="shared" si="55"/>
        <v>0</v>
      </c>
      <c r="FQ25" s="294">
        <f t="shared" si="79"/>
        <v>22</v>
      </c>
      <c r="FR25" s="774">
        <v>22</v>
      </c>
      <c r="FS25" s="17" t="s">
        <v>424</v>
      </c>
      <c r="FT25" s="303">
        <f t="shared" si="80"/>
        <v>0</v>
      </c>
      <c r="FU25" s="303">
        <f t="shared" si="56"/>
        <v>0</v>
      </c>
      <c r="FV25" s="303">
        <f t="shared" si="57"/>
        <v>0</v>
      </c>
      <c r="FW25" s="303">
        <f t="shared" si="58"/>
        <v>0</v>
      </c>
      <c r="FX25" s="303">
        <f t="shared" si="59"/>
        <v>0</v>
      </c>
      <c r="FY25" s="303">
        <f t="shared" si="60"/>
        <v>0</v>
      </c>
      <c r="FZ25" s="303">
        <f t="shared" si="61"/>
        <v>0</v>
      </c>
      <c r="GA25" s="303">
        <f t="shared" ref="GA25:GA28" si="118">SUM(FT25:FZ25)</f>
        <v>0</v>
      </c>
      <c r="GB25" s="381">
        <f t="shared" si="63"/>
        <v>0</v>
      </c>
      <c r="GF25" s="773">
        <f t="shared" si="81"/>
        <v>22</v>
      </c>
      <c r="GG25" s="774">
        <f t="shared" si="64"/>
        <v>22</v>
      </c>
      <c r="GH25" s="17" t="s">
        <v>424</v>
      </c>
      <c r="GI25" s="299">
        <f t="shared" si="82"/>
        <v>0</v>
      </c>
      <c r="GJ25" s="299">
        <f t="shared" si="65"/>
        <v>0</v>
      </c>
      <c r="GK25" s="299">
        <f t="shared" si="66"/>
        <v>0</v>
      </c>
      <c r="GL25" s="299">
        <f t="shared" si="67"/>
        <v>0</v>
      </c>
      <c r="GM25" s="299">
        <f t="shared" si="68"/>
        <v>0</v>
      </c>
      <c r="GN25" s="299">
        <f t="shared" si="69"/>
        <v>0</v>
      </c>
      <c r="GO25" s="299">
        <f t="shared" si="70"/>
        <v>0</v>
      </c>
      <c r="GP25" s="299">
        <f t="shared" si="71"/>
        <v>0</v>
      </c>
      <c r="GQ25" s="427">
        <v>0</v>
      </c>
      <c r="GR25" s="755"/>
      <c r="GU25" s="294">
        <f t="shared" si="83"/>
        <v>22</v>
      </c>
      <c r="GV25" s="774">
        <f>FR25</f>
        <v>22</v>
      </c>
      <c r="GW25" s="17" t="s">
        <v>424</v>
      </c>
      <c r="GX25" s="278" t="s">
        <v>389</v>
      </c>
      <c r="GY25" s="303">
        <f>GA25</f>
        <v>0</v>
      </c>
      <c r="GZ25" s="427">
        <f>VLOOKUP(GV25,$GG$4:$GQ$28,$GZ$35,FALSE)</f>
        <v>0</v>
      </c>
      <c r="HA25" s="299">
        <f t="shared" si="84"/>
        <v>3149</v>
      </c>
      <c r="HB25" s="303">
        <f t="shared" si="72"/>
        <v>0</v>
      </c>
      <c r="HC25" s="788">
        <f t="shared" si="73"/>
        <v>0</v>
      </c>
      <c r="HD25" s="789"/>
      <c r="HG25" s="789"/>
      <c r="HH25" s="789"/>
      <c r="HI25" s="789"/>
      <c r="HJ25" s="789"/>
      <c r="HK25" s="789"/>
      <c r="HL25" s="789"/>
      <c r="HM25" s="789"/>
      <c r="HP25" s="773">
        <f t="shared" si="110"/>
        <v>22</v>
      </c>
      <c r="HQ25" s="792">
        <f>FR25</f>
        <v>22</v>
      </c>
      <c r="HR25" s="17" t="s">
        <v>424</v>
      </c>
      <c r="HS25" s="427">
        <v>0</v>
      </c>
      <c r="HT25" s="793">
        <f t="shared" si="85"/>
        <v>3149</v>
      </c>
      <c r="HU25" s="793">
        <v>3149</v>
      </c>
      <c r="HV25" s="783">
        <f t="shared" si="86"/>
        <v>0</v>
      </c>
      <c r="HW25" s="793">
        <f t="shared" si="87"/>
        <v>0</v>
      </c>
      <c r="HX25" s="785">
        <v>10000</v>
      </c>
      <c r="IO25" s="773">
        <f t="shared" si="111"/>
        <v>22</v>
      </c>
      <c r="IP25" s="792">
        <v>22</v>
      </c>
      <c r="IQ25" s="17" t="s">
        <v>424</v>
      </c>
      <c r="IR25" s="799">
        <f t="shared" si="88"/>
        <v>0</v>
      </c>
      <c r="IS25" s="427">
        <f t="shared" si="88"/>
        <v>0</v>
      </c>
      <c r="IT25" s="801">
        <f t="shared" si="88"/>
        <v>3149</v>
      </c>
      <c r="IU25" s="427">
        <f t="shared" si="89"/>
        <v>0</v>
      </c>
      <c r="IV25" s="427">
        <f t="shared" si="90"/>
        <v>0</v>
      </c>
      <c r="IW25" s="799">
        <f t="shared" si="91"/>
        <v>0</v>
      </c>
      <c r="IX25" s="799">
        <f t="shared" si="92"/>
        <v>0</v>
      </c>
      <c r="IY25" s="670">
        <f t="shared" si="117"/>
        <v>3149</v>
      </c>
      <c r="IZ25" s="670">
        <f t="shared" si="116"/>
        <v>3149</v>
      </c>
      <c r="JA25" s="799">
        <f t="shared" si="95"/>
        <v>0</v>
      </c>
      <c r="JB25" s="381">
        <f t="shared" si="96"/>
        <v>0</v>
      </c>
      <c r="JF25" s="773">
        <f t="shared" si="112"/>
        <v>22</v>
      </c>
      <c r="JG25" s="792">
        <f>FR25</f>
        <v>22</v>
      </c>
      <c r="JH25" s="17" t="s">
        <v>424</v>
      </c>
      <c r="JI25" s="427">
        <v>0</v>
      </c>
      <c r="JJ25" s="793">
        <f t="shared" si="97"/>
        <v>3149</v>
      </c>
      <c r="JK25" s="793">
        <v>3149</v>
      </c>
      <c r="JL25" s="783">
        <f t="shared" si="114"/>
        <v>0</v>
      </c>
      <c r="JM25" s="793">
        <f t="shared" si="99"/>
        <v>0</v>
      </c>
      <c r="JN25" s="785">
        <v>10000</v>
      </c>
    </row>
    <row r="26" spans="2:275" x14ac:dyDescent="0.3">
      <c r="I26" s="294">
        <f t="shared" si="100"/>
        <v>23</v>
      </c>
      <c r="J26" s="772">
        <f t="shared" si="1"/>
        <v>23</v>
      </c>
      <c r="K26" s="17" t="s">
        <v>425</v>
      </c>
      <c r="L26" s="427">
        <v>51103</v>
      </c>
      <c r="M26" s="301">
        <f t="shared" si="2"/>
        <v>2.285741348529938E-5</v>
      </c>
      <c r="N26" s="427">
        <v>466.8</v>
      </c>
      <c r="O26" s="427">
        <f t="shared" si="74"/>
        <v>109.4751499571551</v>
      </c>
      <c r="P26" s="301">
        <f t="shared" si="3"/>
        <v>5.9358539301653265E-5</v>
      </c>
      <c r="Q26" s="278" t="s">
        <v>389</v>
      </c>
      <c r="U26" s="773">
        <f t="shared" si="101"/>
        <v>23</v>
      </c>
      <c r="V26" s="774">
        <f t="shared" si="4"/>
        <v>23</v>
      </c>
      <c r="W26" s="17" t="s">
        <v>425</v>
      </c>
      <c r="X26" s="303">
        <f t="shared" si="75"/>
        <v>3604.9703272860602</v>
      </c>
      <c r="Y26" s="301">
        <f t="shared" si="5"/>
        <v>3.4801997590528225E-5</v>
      </c>
      <c r="AC26" s="773">
        <f t="shared" si="102"/>
        <v>23</v>
      </c>
      <c r="AD26" s="95">
        <v>23</v>
      </c>
      <c r="AE26" s="305" t="s">
        <v>425</v>
      </c>
      <c r="AF26" s="330">
        <v>3.91</v>
      </c>
      <c r="AP26" s="773">
        <f t="shared" si="77"/>
        <v>23</v>
      </c>
      <c r="AQ26" s="779">
        <f t="shared" si="6"/>
        <v>23</v>
      </c>
      <c r="AR26" s="17" t="s">
        <v>425</v>
      </c>
      <c r="AS26" s="17">
        <f t="shared" si="7"/>
        <v>3.91</v>
      </c>
      <c r="AT26" s="780">
        <v>51103</v>
      </c>
      <c r="AU26" s="780">
        <f t="shared" si="103"/>
        <v>55.503536111111117</v>
      </c>
      <c r="AV26" s="781">
        <f t="shared" si="8"/>
        <v>54.597074002687627</v>
      </c>
      <c r="AW26" s="782">
        <f t="shared" si="9"/>
        <v>21.511220758941374</v>
      </c>
      <c r="AX26" s="303">
        <f t="shared" si="113"/>
        <v>1174.4497116640725</v>
      </c>
      <c r="AY26" s="301">
        <f t="shared" si="10"/>
        <v>2.6078736086107418E-5</v>
      </c>
      <c r="AZ26" s="299">
        <f t="shared" si="11"/>
        <v>2.2982010000000002</v>
      </c>
      <c r="BK26" s="294">
        <f t="shared" si="104"/>
        <v>23</v>
      </c>
      <c r="BL26" s="278">
        <f t="shared" si="12"/>
        <v>23</v>
      </c>
      <c r="BM26" s="17" t="s">
        <v>425</v>
      </c>
      <c r="BN26" s="301">
        <f t="shared" si="13"/>
        <v>2.6078736086107418E-5</v>
      </c>
      <c r="BO26" s="303">
        <f t="shared" si="14"/>
        <v>244.33619059983286</v>
      </c>
      <c r="BP26" s="301">
        <f t="shared" si="15"/>
        <v>2.285741348529938E-5</v>
      </c>
      <c r="BQ26" s="303">
        <f t="shared" si="16"/>
        <v>214.15506179145183</v>
      </c>
      <c r="BR26" s="530">
        <f t="shared" si="17"/>
        <v>458.49125239128466</v>
      </c>
      <c r="BS26" s="299">
        <f t="shared" si="18"/>
        <v>0.89719000000000004</v>
      </c>
      <c r="BV26" s="20"/>
      <c r="BW26" s="235"/>
      <c r="BX26" s="235"/>
      <c r="BY26" s="235"/>
      <c r="BZ26" s="235"/>
      <c r="CA26" s="235"/>
      <c r="CB26" s="235"/>
      <c r="CC26" s="235"/>
      <c r="CD26" s="235"/>
      <c r="CH26" s="294">
        <f t="shared" si="105"/>
        <v>23</v>
      </c>
      <c r="CI26" s="95">
        <f t="shared" si="20"/>
        <v>23</v>
      </c>
      <c r="CJ26" s="17" t="s">
        <v>425</v>
      </c>
      <c r="CK26" s="301">
        <f t="shared" si="21"/>
        <v>2.285741348529938E-5</v>
      </c>
      <c r="CL26" s="303">
        <f t="shared" si="22"/>
        <v>143.46988085604013</v>
      </c>
      <c r="CM26" s="301">
        <f t="shared" si="23"/>
        <v>5.9358539301653265E-5</v>
      </c>
      <c r="CN26" s="303">
        <f t="shared" si="24"/>
        <v>1242.4068062233971</v>
      </c>
      <c r="CO26" s="303">
        <f t="shared" si="25"/>
        <v>1385.8766870794373</v>
      </c>
      <c r="CP26" s="301">
        <f t="shared" si="26"/>
        <v>5.0937712059866925E-5</v>
      </c>
      <c r="CQ26" s="299">
        <f t="shared" si="27"/>
        <v>2.7119279999999999</v>
      </c>
      <c r="DD26" s="20"/>
      <c r="DG26" s="773">
        <f t="shared" si="106"/>
        <v>23</v>
      </c>
      <c r="DH26" s="786">
        <f t="shared" si="29"/>
        <v>23</v>
      </c>
      <c r="DI26" s="17" t="s">
        <v>425</v>
      </c>
      <c r="DJ26" s="301">
        <f t="shared" si="30"/>
        <v>5.0937712059866925E-5</v>
      </c>
      <c r="DK26" s="303">
        <f t="shared" si="31"/>
        <v>16.180058665167767</v>
      </c>
      <c r="DL26" s="301">
        <f t="shared" si="32"/>
        <v>5.9358539301653265E-5</v>
      </c>
      <c r="DM26" s="303">
        <f t="shared" si="33"/>
        <v>212.61470756722449</v>
      </c>
      <c r="DN26" s="301">
        <f t="shared" si="34"/>
        <v>2.285741348529938E-5</v>
      </c>
      <c r="DO26" s="303">
        <f t="shared" si="35"/>
        <v>99.801080226209265</v>
      </c>
      <c r="DP26" s="303">
        <f t="shared" si="78"/>
        <v>328.5958464586015</v>
      </c>
      <c r="DQ26" s="301">
        <f t="shared" si="36"/>
        <v>3.9753848697888426E-5</v>
      </c>
      <c r="DR26" s="299">
        <f t="shared" si="37"/>
        <v>0.643007</v>
      </c>
      <c r="DV26" s="773">
        <f t="shared" si="107"/>
        <v>23</v>
      </c>
      <c r="DW26" s="786">
        <f t="shared" si="38"/>
        <v>23</v>
      </c>
      <c r="DX26" s="17" t="s">
        <v>425</v>
      </c>
      <c r="DY26" s="301">
        <f t="shared" si="39"/>
        <v>5.9358539301653265E-5</v>
      </c>
      <c r="DZ26" s="303">
        <f t="shared" si="40"/>
        <v>257.556829692664</v>
      </c>
      <c r="EA26" s="299">
        <f t="shared" si="41"/>
        <v>0.503996</v>
      </c>
      <c r="EM26" s="773">
        <f t="shared" si="108"/>
        <v>23</v>
      </c>
      <c r="EN26" s="786">
        <f t="shared" si="42"/>
        <v>23</v>
      </c>
      <c r="EO26" s="17" t="s">
        <v>425</v>
      </c>
      <c r="EP26" s="301">
        <f t="shared" si="43"/>
        <v>3.4801997590528225E-5</v>
      </c>
      <c r="EQ26" s="303">
        <f t="shared" si="44"/>
        <v>290.59524537828537</v>
      </c>
      <c r="ER26" s="301">
        <f t="shared" si="45"/>
        <v>5.0937712059866925E-5</v>
      </c>
      <c r="ES26" s="303">
        <f t="shared" si="46"/>
        <v>55.839054747093932</v>
      </c>
      <c r="ET26" s="301">
        <f t="shared" si="47"/>
        <v>2.285741348529938E-5</v>
      </c>
      <c r="EU26" s="303">
        <f t="shared" si="48"/>
        <v>97.762450795745877</v>
      </c>
      <c r="EV26" s="303">
        <f t="shared" si="49"/>
        <v>444.19675092112516</v>
      </c>
      <c r="EW26" s="301">
        <f t="shared" si="50"/>
        <v>3.2368218239835599E-5</v>
      </c>
      <c r="EX26" s="299">
        <f t="shared" si="51"/>
        <v>0.86921899999999996</v>
      </c>
      <c r="FH26" s="773">
        <f t="shared" si="109"/>
        <v>23</v>
      </c>
      <c r="FI26" s="774">
        <f t="shared" si="52"/>
        <v>23</v>
      </c>
      <c r="FJ26" s="17" t="s">
        <v>425</v>
      </c>
      <c r="FK26" s="301">
        <f t="shared" si="53"/>
        <v>3.4801997590528225E-5</v>
      </c>
      <c r="FL26" s="303">
        <f t="shared" si="54"/>
        <v>773.40016555107866</v>
      </c>
      <c r="FM26" s="299">
        <f t="shared" si="55"/>
        <v>1.513414</v>
      </c>
      <c r="FQ26" s="294">
        <f t="shared" si="79"/>
        <v>23</v>
      </c>
      <c r="FR26" s="774">
        <v>23</v>
      </c>
      <c r="FS26" s="17" t="s">
        <v>425</v>
      </c>
      <c r="FT26" s="303">
        <f t="shared" si="80"/>
        <v>1174.4497116640725</v>
      </c>
      <c r="FU26" s="303">
        <f t="shared" si="56"/>
        <v>458.49125239128466</v>
      </c>
      <c r="FV26" s="303">
        <f t="shared" si="57"/>
        <v>1385.8766870794373</v>
      </c>
      <c r="FW26" s="303">
        <f t="shared" si="58"/>
        <v>328.5958464586015</v>
      </c>
      <c r="FX26" s="303">
        <f t="shared" si="59"/>
        <v>257.556829692664</v>
      </c>
      <c r="FY26" s="303">
        <f t="shared" si="60"/>
        <v>444.19675092112516</v>
      </c>
      <c r="FZ26" s="303">
        <f t="shared" si="61"/>
        <v>773.40016555107866</v>
      </c>
      <c r="GA26" s="303">
        <f t="shared" si="118"/>
        <v>4822.5672437582634</v>
      </c>
      <c r="GB26" s="381">
        <f t="shared" si="63"/>
        <v>9.4369549999999993</v>
      </c>
      <c r="GF26" s="773">
        <f t="shared" si="81"/>
        <v>23</v>
      </c>
      <c r="GG26" s="774">
        <f t="shared" si="64"/>
        <v>23</v>
      </c>
      <c r="GH26" s="17" t="s">
        <v>425</v>
      </c>
      <c r="GI26" s="299">
        <f t="shared" si="82"/>
        <v>2.2982010000000002</v>
      </c>
      <c r="GJ26" s="299">
        <f t="shared" si="65"/>
        <v>0.89719000000000004</v>
      </c>
      <c r="GK26" s="299">
        <f t="shared" si="66"/>
        <v>2.7119279999999999</v>
      </c>
      <c r="GL26" s="299">
        <f t="shared" si="67"/>
        <v>0.643007</v>
      </c>
      <c r="GM26" s="299">
        <f t="shared" si="68"/>
        <v>0.503996</v>
      </c>
      <c r="GN26" s="299">
        <f t="shared" si="69"/>
        <v>0.86921899999999996</v>
      </c>
      <c r="GO26" s="299">
        <f t="shared" si="70"/>
        <v>1.513414</v>
      </c>
      <c r="GP26" s="299">
        <f t="shared" si="71"/>
        <v>9.4369549999999993</v>
      </c>
      <c r="GQ26" s="427">
        <v>51103</v>
      </c>
      <c r="GR26" s="755"/>
      <c r="GU26" s="294">
        <f t="shared" si="83"/>
        <v>23</v>
      </c>
      <c r="GV26" s="774">
        <f>FR26</f>
        <v>23</v>
      </c>
      <c r="GW26" s="17" t="s">
        <v>425</v>
      </c>
      <c r="GX26" s="278" t="s">
        <v>389</v>
      </c>
      <c r="GY26" s="303">
        <f>GA26</f>
        <v>4822.5672437582634</v>
      </c>
      <c r="GZ26" s="427">
        <f>VLOOKUP(GV26,$GG$4:$GQ$28,$GZ$35,FALSE)</f>
        <v>51103</v>
      </c>
      <c r="HA26" s="299">
        <f t="shared" si="84"/>
        <v>9.4369549999999993</v>
      </c>
      <c r="HB26" s="303">
        <f t="shared" si="72"/>
        <v>4822.5671136499996</v>
      </c>
      <c r="HC26" s="788">
        <f t="shared" si="73"/>
        <v>-1.3010826387471752E-4</v>
      </c>
      <c r="HD26" s="789"/>
      <c r="HG26" s="789"/>
      <c r="HH26" s="789"/>
      <c r="HI26" s="789"/>
      <c r="HJ26" s="789"/>
      <c r="HK26" s="789"/>
      <c r="HL26" s="789"/>
      <c r="HM26" s="789"/>
      <c r="HP26" s="773">
        <f t="shared" si="110"/>
        <v>23</v>
      </c>
      <c r="HQ26" s="792">
        <f>FR26</f>
        <v>23</v>
      </c>
      <c r="HR26" s="17" t="s">
        <v>425</v>
      </c>
      <c r="HS26" s="427">
        <v>51103</v>
      </c>
      <c r="HT26" s="793">
        <f t="shared" si="85"/>
        <v>9.4369549999999993</v>
      </c>
      <c r="HU26" s="793">
        <v>9.8079999999999998</v>
      </c>
      <c r="HV26" s="783">
        <f t="shared" si="86"/>
        <v>-3.7830852365416057E-2</v>
      </c>
      <c r="HW26" s="793">
        <f t="shared" si="87"/>
        <v>-0.37104500000000051</v>
      </c>
      <c r="HX26" s="785">
        <v>10</v>
      </c>
      <c r="IO26" s="773">
        <f t="shared" si="111"/>
        <v>23</v>
      </c>
      <c r="IP26" s="792">
        <v>23</v>
      </c>
      <c r="IQ26" s="17" t="s">
        <v>425</v>
      </c>
      <c r="IR26" s="799">
        <f t="shared" si="88"/>
        <v>4822.5672437582634</v>
      </c>
      <c r="IS26" s="800">
        <f t="shared" si="88"/>
        <v>51103</v>
      </c>
      <c r="IT26" s="801">
        <f t="shared" si="88"/>
        <v>9.4369549999999993</v>
      </c>
      <c r="IU26" s="427">
        <v>0</v>
      </c>
      <c r="IV26" s="427">
        <f t="shared" si="90"/>
        <v>51103</v>
      </c>
      <c r="IW26" s="799">
        <f t="shared" si="91"/>
        <v>0</v>
      </c>
      <c r="IX26" s="799">
        <f t="shared" si="92"/>
        <v>4822.5672437582634</v>
      </c>
      <c r="IY26" s="670">
        <f>IX26/IS26*100</f>
        <v>9.4369552546000506</v>
      </c>
      <c r="IZ26" s="670">
        <f>IY26</f>
        <v>9.4369552546000506</v>
      </c>
      <c r="JA26" s="799">
        <f t="shared" si="95"/>
        <v>4822.5672437582634</v>
      </c>
      <c r="JB26" s="381">
        <f t="shared" si="96"/>
        <v>-2.5460005126376473E-7</v>
      </c>
      <c r="JF26" s="773">
        <f t="shared" si="112"/>
        <v>23</v>
      </c>
      <c r="JG26" s="792">
        <f>FR26</f>
        <v>23</v>
      </c>
      <c r="JH26" s="17" t="s">
        <v>425</v>
      </c>
      <c r="JI26" s="427">
        <v>51103</v>
      </c>
      <c r="JJ26" s="793">
        <f t="shared" si="97"/>
        <v>9.4369552546000506</v>
      </c>
      <c r="JK26" s="793">
        <v>9.8079999999999998</v>
      </c>
      <c r="JL26" s="783">
        <f t="shared" si="114"/>
        <v>-3.7830826407009521E-2</v>
      </c>
      <c r="JM26" s="793">
        <f t="shared" si="99"/>
        <v>-0.37104474539994925</v>
      </c>
      <c r="JN26" s="785">
        <v>10</v>
      </c>
    </row>
    <row r="27" spans="2:275" x14ac:dyDescent="0.3">
      <c r="I27" s="294">
        <f t="shared" si="100"/>
        <v>24</v>
      </c>
      <c r="J27" s="772">
        <f t="shared" si="1"/>
        <v>24</v>
      </c>
      <c r="K27" s="17" t="s">
        <v>426</v>
      </c>
      <c r="L27" s="427">
        <v>86610831</v>
      </c>
      <c r="M27" s="301">
        <f t="shared" si="2"/>
        <v>3.873940035755994E-2</v>
      </c>
      <c r="N27" s="427">
        <v>1383</v>
      </c>
      <c r="O27" s="427">
        <f t="shared" si="74"/>
        <v>62625.329718004337</v>
      </c>
      <c r="P27" s="301">
        <f t="shared" si="3"/>
        <v>3.3956090462538759E-2</v>
      </c>
      <c r="Q27" s="278" t="s">
        <v>385</v>
      </c>
      <c r="U27" s="773">
        <f t="shared" si="101"/>
        <v>24</v>
      </c>
      <c r="V27" s="774">
        <f t="shared" si="4"/>
        <v>24</v>
      </c>
      <c r="W27" s="17" t="s">
        <v>426</v>
      </c>
      <c r="X27" s="303">
        <f t="shared" si="75"/>
        <v>5160804.8543082187</v>
      </c>
      <c r="Y27" s="301">
        <f t="shared" si="5"/>
        <v>4.982185754633784E-2</v>
      </c>
      <c r="AC27" s="773">
        <f t="shared" si="102"/>
        <v>24</v>
      </c>
      <c r="AD27" s="95">
        <v>24</v>
      </c>
      <c r="AE27" s="305" t="s">
        <v>426</v>
      </c>
      <c r="AF27" s="330">
        <v>5.52</v>
      </c>
      <c r="AP27" s="773">
        <f t="shared" si="77"/>
        <v>24</v>
      </c>
      <c r="AQ27" s="779">
        <f t="shared" si="6"/>
        <v>24</v>
      </c>
      <c r="AR27" s="17" t="s">
        <v>426</v>
      </c>
      <c r="AS27" s="17">
        <f t="shared" si="7"/>
        <v>5.52</v>
      </c>
      <c r="AT27" s="780">
        <v>86610831</v>
      </c>
      <c r="AU27" s="780">
        <f t="shared" si="103"/>
        <v>132803.27419999999</v>
      </c>
      <c r="AV27" s="781">
        <f t="shared" si="8"/>
        <v>130634.38291177851</v>
      </c>
      <c r="AW27" s="782">
        <f t="shared" si="9"/>
        <v>21.511220758941374</v>
      </c>
      <c r="AX27" s="303">
        <f t="shared" si="113"/>
        <v>2810105.0495233461</v>
      </c>
      <c r="AY27" s="301">
        <f t="shared" si="10"/>
        <v>6.2398574611527133E-2</v>
      </c>
      <c r="AZ27" s="299">
        <f t="shared" si="11"/>
        <v>3.2445189999999999</v>
      </c>
      <c r="BD27" s="20"/>
      <c r="BE27" s="20"/>
      <c r="BF27" s="20"/>
      <c r="BG27" s="20"/>
      <c r="BK27" s="294">
        <f t="shared" si="104"/>
        <v>24</v>
      </c>
      <c r="BL27" s="278">
        <f t="shared" si="12"/>
        <v>24</v>
      </c>
      <c r="BM27" s="17" t="s">
        <v>426</v>
      </c>
      <c r="BN27" s="301">
        <f t="shared" si="13"/>
        <v>6.2398574611527133E-2</v>
      </c>
      <c r="BO27" s="303">
        <f t="shared" si="14"/>
        <v>584623.04189511342</v>
      </c>
      <c r="BP27" s="301">
        <f t="shared" si="15"/>
        <v>3.873940035755994E-2</v>
      </c>
      <c r="BQ27" s="303">
        <f t="shared" si="16"/>
        <v>362956.14473933022</v>
      </c>
      <c r="BR27" s="530">
        <f t="shared" si="17"/>
        <v>947579.1866344437</v>
      </c>
      <c r="BS27" s="299">
        <f t="shared" si="18"/>
        <v>1.0940650000000001</v>
      </c>
      <c r="BV27" s="20"/>
      <c r="BW27" s="235"/>
      <c r="BX27" s="235"/>
      <c r="BY27" s="235"/>
      <c r="BZ27" s="235"/>
      <c r="CA27" s="235"/>
      <c r="CB27" s="235"/>
      <c r="CC27" s="235"/>
      <c r="CD27" s="235"/>
      <c r="CH27" s="294">
        <f t="shared" si="105"/>
        <v>24</v>
      </c>
      <c r="CI27" s="95">
        <f t="shared" si="20"/>
        <v>24</v>
      </c>
      <c r="CJ27" s="17" t="s">
        <v>426</v>
      </c>
      <c r="CK27" s="301">
        <f t="shared" si="21"/>
        <v>3.873940035755994E-2</v>
      </c>
      <c r="CL27" s="303">
        <f t="shared" si="22"/>
        <v>243156.8715028986</v>
      </c>
      <c r="CM27" s="301">
        <f t="shared" si="23"/>
        <v>3.3956090462538759E-2</v>
      </c>
      <c r="CN27" s="303">
        <f t="shared" si="24"/>
        <v>710719.61001271685</v>
      </c>
      <c r="CO27" s="303">
        <f t="shared" si="25"/>
        <v>953876.48151561548</v>
      </c>
      <c r="CP27" s="301">
        <f t="shared" si="26"/>
        <v>3.5059602350707812E-2</v>
      </c>
      <c r="CQ27" s="299">
        <f t="shared" si="27"/>
        <v>1.1013360000000001</v>
      </c>
      <c r="DD27" s="20"/>
      <c r="DG27" s="773">
        <f t="shared" si="106"/>
        <v>24</v>
      </c>
      <c r="DH27" s="786">
        <f t="shared" si="29"/>
        <v>24</v>
      </c>
      <c r="DI27" s="17" t="s">
        <v>426</v>
      </c>
      <c r="DJ27" s="301">
        <f t="shared" si="30"/>
        <v>3.5059602350707812E-2</v>
      </c>
      <c r="DK27" s="303">
        <f t="shared" si="31"/>
        <v>11136.472367372915</v>
      </c>
      <c r="DL27" s="301">
        <f t="shared" si="32"/>
        <v>3.3956090462538759E-2</v>
      </c>
      <c r="DM27" s="303">
        <f t="shared" si="33"/>
        <v>121626.37977208139</v>
      </c>
      <c r="DN27" s="301">
        <f t="shared" si="34"/>
        <v>3.873940035755994E-2</v>
      </c>
      <c r="DO27" s="303">
        <f t="shared" si="35"/>
        <v>169145.73494882204</v>
      </c>
      <c r="DP27" s="303">
        <f t="shared" si="78"/>
        <v>301908.58708827634</v>
      </c>
      <c r="DQ27" s="301">
        <f t="shared" si="36"/>
        <v>3.6525197810778467E-2</v>
      </c>
      <c r="DR27" s="299">
        <f t="shared" si="37"/>
        <v>0.34858099999999997</v>
      </c>
      <c r="DV27" s="773">
        <f t="shared" si="107"/>
        <v>24</v>
      </c>
      <c r="DW27" s="786">
        <f t="shared" si="38"/>
        <v>24</v>
      </c>
      <c r="DX27" s="17" t="s">
        <v>426</v>
      </c>
      <c r="DY27" s="301">
        <f t="shared" si="39"/>
        <v>3.3956090462538759E-2</v>
      </c>
      <c r="DZ27" s="303">
        <f t="shared" si="40"/>
        <v>147335.54954653681</v>
      </c>
      <c r="EA27" s="299">
        <f t="shared" si="41"/>
        <v>0.17011200000000001</v>
      </c>
      <c r="EM27" s="773">
        <f t="shared" si="108"/>
        <v>24</v>
      </c>
      <c r="EN27" s="786">
        <f t="shared" si="42"/>
        <v>24</v>
      </c>
      <c r="EO27" s="17" t="s">
        <v>426</v>
      </c>
      <c r="EP27" s="301">
        <f t="shared" si="43"/>
        <v>4.982185754633784E-2</v>
      </c>
      <c r="EQ27" s="303">
        <f t="shared" si="44"/>
        <v>416010.45690608228</v>
      </c>
      <c r="ER27" s="301">
        <f t="shared" si="45"/>
        <v>3.5059602350707812E-2</v>
      </c>
      <c r="ES27" s="303">
        <f t="shared" si="46"/>
        <v>38433.117152408493</v>
      </c>
      <c r="ET27" s="301">
        <f t="shared" si="47"/>
        <v>3.873940035755994E-2</v>
      </c>
      <c r="EU27" s="303">
        <f t="shared" si="48"/>
        <v>165690.60728364601</v>
      </c>
      <c r="EV27" s="303">
        <f t="shared" si="49"/>
        <v>620134.18134213681</v>
      </c>
      <c r="EW27" s="301">
        <f t="shared" si="50"/>
        <v>4.5188620758795948E-2</v>
      </c>
      <c r="EX27" s="299">
        <f t="shared" si="51"/>
        <v>0.716001</v>
      </c>
      <c r="FH27" s="773">
        <f t="shared" si="109"/>
        <v>24</v>
      </c>
      <c r="FI27" s="774">
        <f t="shared" si="52"/>
        <v>24</v>
      </c>
      <c r="FJ27" s="17" t="s">
        <v>426</v>
      </c>
      <c r="FK27" s="301">
        <f t="shared" si="53"/>
        <v>4.982185754633784E-2</v>
      </c>
      <c r="FL27" s="303">
        <f t="shared" si="54"/>
        <v>1107184.5164683003</v>
      </c>
      <c r="FM27" s="299">
        <f t="shared" si="55"/>
        <v>1.2783439999999999</v>
      </c>
      <c r="FQ27" s="294">
        <f t="shared" si="79"/>
        <v>24</v>
      </c>
      <c r="FR27" s="774">
        <v>24</v>
      </c>
      <c r="FS27" s="17" t="s">
        <v>426</v>
      </c>
      <c r="FT27" s="303">
        <f t="shared" si="80"/>
        <v>2810105.0495233461</v>
      </c>
      <c r="FU27" s="303">
        <f t="shared" si="56"/>
        <v>947579.1866344437</v>
      </c>
      <c r="FV27" s="303">
        <f t="shared" si="57"/>
        <v>953876.48151561548</v>
      </c>
      <c r="FW27" s="303">
        <f t="shared" si="58"/>
        <v>301908.58708827634</v>
      </c>
      <c r="FX27" s="303">
        <f t="shared" si="59"/>
        <v>147335.54954653681</v>
      </c>
      <c r="FY27" s="303">
        <f t="shared" si="60"/>
        <v>620134.18134213681</v>
      </c>
      <c r="FZ27" s="303">
        <f t="shared" si="61"/>
        <v>1107184.5164683003</v>
      </c>
      <c r="GA27" s="303">
        <f t="shared" ref="GA27" si="119">SUM(FT27:FZ27)</f>
        <v>6888123.5521186562</v>
      </c>
      <c r="GB27" s="381">
        <f t="shared" si="63"/>
        <v>7.9529589999999999</v>
      </c>
      <c r="GF27" s="773">
        <f t="shared" si="81"/>
        <v>24</v>
      </c>
      <c r="GG27" s="774">
        <f t="shared" si="64"/>
        <v>24</v>
      </c>
      <c r="GH27" s="17" t="s">
        <v>426</v>
      </c>
      <c r="GI27" s="299">
        <f t="shared" si="82"/>
        <v>3.2445189999999999</v>
      </c>
      <c r="GJ27" s="299">
        <f t="shared" si="65"/>
        <v>1.0940650000000001</v>
      </c>
      <c r="GK27" s="299">
        <f t="shared" si="66"/>
        <v>1.1013360000000001</v>
      </c>
      <c r="GL27" s="299">
        <f t="shared" si="67"/>
        <v>0.34858099999999997</v>
      </c>
      <c r="GM27" s="299">
        <f t="shared" si="68"/>
        <v>0.17011200000000001</v>
      </c>
      <c r="GN27" s="299">
        <f t="shared" si="69"/>
        <v>0.716001</v>
      </c>
      <c r="GO27" s="299">
        <f t="shared" si="70"/>
        <v>1.2783439999999999</v>
      </c>
      <c r="GP27" s="299">
        <f t="shared" si="71"/>
        <v>7.9529589999999999</v>
      </c>
      <c r="GQ27" s="427">
        <v>86610831</v>
      </c>
      <c r="GR27" s="755"/>
      <c r="GU27" s="294">
        <f t="shared" si="83"/>
        <v>24</v>
      </c>
      <c r="GV27" s="774">
        <f>FR27</f>
        <v>24</v>
      </c>
      <c r="GW27" s="17" t="s">
        <v>426</v>
      </c>
      <c r="GX27" s="278" t="s">
        <v>385</v>
      </c>
      <c r="GY27" s="303">
        <f>GA27</f>
        <v>6888123.5521186562</v>
      </c>
      <c r="GZ27" s="427">
        <f>VLOOKUP(GV27,$GG$4:$GQ$28,$GZ$35,FALSE)</f>
        <v>86610831</v>
      </c>
      <c r="HA27" s="299">
        <f t="shared" si="84"/>
        <v>7.9529589999999999</v>
      </c>
      <c r="HB27" s="303">
        <f t="shared" si="72"/>
        <v>6888123.8789892904</v>
      </c>
      <c r="HC27" s="788">
        <f t="shared" si="73"/>
        <v>0.32687063422054052</v>
      </c>
      <c r="HD27" s="789"/>
      <c r="HG27" s="789"/>
      <c r="HH27" s="789"/>
      <c r="HI27" s="789"/>
      <c r="HJ27" s="789"/>
      <c r="HK27" s="789"/>
      <c r="HL27" s="789"/>
      <c r="HM27" s="789"/>
      <c r="HP27" s="773">
        <f t="shared" si="110"/>
        <v>24</v>
      </c>
      <c r="HQ27" s="792">
        <f>FR27</f>
        <v>24</v>
      </c>
      <c r="HR27" s="17" t="s">
        <v>426</v>
      </c>
      <c r="HS27" s="427">
        <v>86610831</v>
      </c>
      <c r="HT27" s="793">
        <f t="shared" si="85"/>
        <v>7.9529589999999999</v>
      </c>
      <c r="HU27" s="793">
        <v>6.2359999999999998</v>
      </c>
      <c r="HV27" s="783">
        <f t="shared" si="86"/>
        <v>0.2753301796023091</v>
      </c>
      <c r="HW27" s="793">
        <f t="shared" si="87"/>
        <v>1.7169590000000001</v>
      </c>
      <c r="HX27" s="785">
        <v>10</v>
      </c>
      <c r="IO27" s="773">
        <f t="shared" si="111"/>
        <v>24</v>
      </c>
      <c r="IP27" s="792">
        <v>24</v>
      </c>
      <c r="IQ27" s="17" t="s">
        <v>426</v>
      </c>
      <c r="IR27" s="799">
        <f t="shared" si="88"/>
        <v>6888123.5521186562</v>
      </c>
      <c r="IS27" s="800">
        <f t="shared" si="88"/>
        <v>86610831</v>
      </c>
      <c r="IT27" s="801">
        <f t="shared" si="88"/>
        <v>7.9529589999999999</v>
      </c>
      <c r="IU27" s="427">
        <f t="shared" si="89"/>
        <v>12398673.028140936</v>
      </c>
      <c r="IV27" s="427">
        <f t="shared" si="90"/>
        <v>74212157.971859068</v>
      </c>
      <c r="IW27" s="799">
        <f t="shared" si="91"/>
        <v>185980.09542211404</v>
      </c>
      <c r="IX27" s="799">
        <f t="shared" si="92"/>
        <v>6702143.456696542</v>
      </c>
      <c r="IY27" s="670">
        <f>IX27/IS27*100</f>
        <v>7.738227862859949</v>
      </c>
      <c r="IZ27" s="670">
        <f t="shared" ref="IZ27" si="120">IY27+1.5</f>
        <v>9.238227862859949</v>
      </c>
      <c r="JA27" s="799">
        <f t="shared" si="95"/>
        <v>6888123.5521186562</v>
      </c>
      <c r="JB27" s="381">
        <f t="shared" si="96"/>
        <v>0.21473113714005088</v>
      </c>
      <c r="JF27" s="773">
        <f t="shared" si="112"/>
        <v>24</v>
      </c>
      <c r="JG27" s="792">
        <f>FR27</f>
        <v>24</v>
      </c>
      <c r="JH27" s="17" t="s">
        <v>426</v>
      </c>
      <c r="JI27" s="427">
        <v>86610831</v>
      </c>
      <c r="JJ27" s="793">
        <f t="shared" si="97"/>
        <v>7.738227862859949</v>
      </c>
      <c r="JK27" s="793">
        <v>6.0170000000000003</v>
      </c>
      <c r="JL27" s="783">
        <f t="shared" si="114"/>
        <v>0.28606080486287988</v>
      </c>
      <c r="JM27" s="793">
        <f t="shared" si="99"/>
        <v>1.7212278628599487</v>
      </c>
      <c r="JN27" s="785">
        <v>10</v>
      </c>
    </row>
    <row r="28" spans="2:275" ht="17.25" thickBot="1" x14ac:dyDescent="0.35">
      <c r="F28" s="20"/>
      <c r="G28" s="837"/>
      <c r="H28" s="20"/>
      <c r="I28" s="428">
        <f t="shared" si="100"/>
        <v>25</v>
      </c>
      <c r="J28" s="838">
        <f t="shared" si="1"/>
        <v>25</v>
      </c>
      <c r="K28" s="569" t="s">
        <v>427</v>
      </c>
      <c r="L28" s="839">
        <v>580017</v>
      </c>
      <c r="M28" s="560">
        <f t="shared" si="2"/>
        <v>2.594307261315948E-4</v>
      </c>
      <c r="N28" s="839">
        <v>234</v>
      </c>
      <c r="O28" s="839">
        <f t="shared" si="74"/>
        <v>2478.7051282051284</v>
      </c>
      <c r="P28" s="560">
        <f t="shared" si="3"/>
        <v>1.3439791206256056E-3</v>
      </c>
      <c r="Q28" s="557" t="s">
        <v>385</v>
      </c>
      <c r="R28" s="20"/>
      <c r="S28" s="837"/>
      <c r="T28" s="20"/>
      <c r="U28" s="840">
        <f t="shared" si="101"/>
        <v>25</v>
      </c>
      <c r="V28" s="841">
        <f>FR28</f>
        <v>25</v>
      </c>
      <c r="W28" s="569" t="s">
        <v>427</v>
      </c>
      <c r="X28" s="430">
        <f>SUM(FT28:FX28)</f>
        <v>86199.605861370452</v>
      </c>
      <c r="Y28" s="560">
        <f t="shared" si="5"/>
        <v>8.3216176643271676E-4</v>
      </c>
      <c r="AC28" s="823">
        <f t="shared" si="102"/>
        <v>25</v>
      </c>
      <c r="AD28" s="842">
        <v>25</v>
      </c>
      <c r="AE28" s="843" t="s">
        <v>427</v>
      </c>
      <c r="AF28" s="844">
        <v>10.17</v>
      </c>
      <c r="AG28" s="20"/>
      <c r="AH28" s="837"/>
      <c r="AI28" s="20"/>
      <c r="AJ28" s="20"/>
      <c r="AK28" s="20"/>
      <c r="AL28" s="20"/>
      <c r="AP28" s="840">
        <f t="shared" si="77"/>
        <v>25</v>
      </c>
      <c r="AQ28" s="845">
        <f>FR28</f>
        <v>25</v>
      </c>
      <c r="AR28" s="569" t="s">
        <v>427</v>
      </c>
      <c r="AS28" s="569">
        <f t="shared" si="7"/>
        <v>10.17</v>
      </c>
      <c r="AT28" s="846">
        <v>580017</v>
      </c>
      <c r="AU28" s="846">
        <f t="shared" si="103"/>
        <v>1638.5480249999998</v>
      </c>
      <c r="AV28" s="847">
        <f t="shared" si="8"/>
        <v>1611.7878975998049</v>
      </c>
      <c r="AW28" s="848">
        <f t="shared" si="9"/>
        <v>21.511220758941374</v>
      </c>
      <c r="AX28" s="430">
        <f t="shared" si="113"/>
        <v>34671.525281859394</v>
      </c>
      <c r="AY28" s="560">
        <f t="shared" si="10"/>
        <v>7.6988358764826985E-4</v>
      </c>
      <c r="AZ28" s="559">
        <f t="shared" si="11"/>
        <v>5.9776740000000004</v>
      </c>
      <c r="BA28" s="20"/>
      <c r="BB28" s="837"/>
      <c r="BC28" s="20"/>
      <c r="BD28" s="755"/>
      <c r="BE28" s="755"/>
      <c r="BF28" s="755"/>
      <c r="BG28" s="755"/>
      <c r="BH28" s="20"/>
      <c r="BI28" s="837"/>
      <c r="BJ28" s="20"/>
      <c r="BK28" s="428">
        <f t="shared" si="104"/>
        <v>25</v>
      </c>
      <c r="BL28" s="557">
        <f>FR28</f>
        <v>25</v>
      </c>
      <c r="BM28" s="569" t="s">
        <v>427</v>
      </c>
      <c r="BN28" s="560">
        <f t="shared" si="13"/>
        <v>7.6988358764826985E-4</v>
      </c>
      <c r="BO28" s="430">
        <f t="shared" si="14"/>
        <v>7213.1725398885555</v>
      </c>
      <c r="BP28" s="560">
        <f t="shared" si="15"/>
        <v>2.594307261315948E-4</v>
      </c>
      <c r="BQ28" s="430">
        <f t="shared" si="16"/>
        <v>2430.6513604894526</v>
      </c>
      <c r="BR28" s="804">
        <f t="shared" si="17"/>
        <v>9643.8239003780072</v>
      </c>
      <c r="BS28" s="559">
        <f t="shared" si="18"/>
        <v>1.6626799999999999</v>
      </c>
      <c r="BT28" s="20"/>
      <c r="BU28" s="837"/>
      <c r="BV28" s="20"/>
      <c r="BW28" s="235"/>
      <c r="BX28" s="235"/>
      <c r="BY28" s="235"/>
      <c r="BZ28" s="235"/>
      <c r="CA28" s="235"/>
      <c r="CB28" s="235"/>
      <c r="CC28" s="235"/>
      <c r="CD28" s="235"/>
      <c r="CE28" s="20"/>
      <c r="CF28" s="837"/>
      <c r="CH28" s="428">
        <f t="shared" si="105"/>
        <v>25</v>
      </c>
      <c r="CI28" s="849">
        <f>FR28</f>
        <v>25</v>
      </c>
      <c r="CJ28" s="569" t="s">
        <v>427</v>
      </c>
      <c r="CK28" s="560">
        <f t="shared" si="21"/>
        <v>2.594307261315948E-4</v>
      </c>
      <c r="CL28" s="430">
        <f t="shared" si="22"/>
        <v>1628.3773924129273</v>
      </c>
      <c r="CM28" s="560">
        <f t="shared" si="23"/>
        <v>1.3439791206256056E-3</v>
      </c>
      <c r="CN28" s="430">
        <f t="shared" si="24"/>
        <v>28130.220630966262</v>
      </c>
      <c r="CO28" s="430">
        <f t="shared" si="25"/>
        <v>29758.598023379189</v>
      </c>
      <c r="CP28" s="560">
        <f t="shared" si="26"/>
        <v>1.093773285568897E-3</v>
      </c>
      <c r="CQ28" s="559">
        <f t="shared" si="27"/>
        <v>5.1306419999999999</v>
      </c>
      <c r="CS28" s="837"/>
      <c r="CT28" s="20"/>
      <c r="DD28" s="20"/>
      <c r="DE28" s="837"/>
      <c r="DF28" s="739"/>
      <c r="DG28" s="840">
        <f t="shared" si="106"/>
        <v>25</v>
      </c>
      <c r="DH28" s="850">
        <f>FR28</f>
        <v>25</v>
      </c>
      <c r="DI28" s="569" t="s">
        <v>427</v>
      </c>
      <c r="DJ28" s="560">
        <f t="shared" si="30"/>
        <v>1.093773285568897E-3</v>
      </c>
      <c r="DK28" s="430">
        <f t="shared" si="31"/>
        <v>347.43052271563459</v>
      </c>
      <c r="DL28" s="560">
        <f t="shared" si="32"/>
        <v>1.3439791206256056E-3</v>
      </c>
      <c r="DM28" s="430">
        <f t="shared" si="33"/>
        <v>4813.9615810982377</v>
      </c>
      <c r="DN28" s="560">
        <f t="shared" si="34"/>
        <v>2.594307261315948E-4</v>
      </c>
      <c r="DO28" s="430">
        <f t="shared" si="35"/>
        <v>1132.7382570409802</v>
      </c>
      <c r="DP28" s="430">
        <f t="shared" si="78"/>
        <v>6294.1303608548524</v>
      </c>
      <c r="DQ28" s="560">
        <f t="shared" si="36"/>
        <v>7.6147008170334069E-4</v>
      </c>
      <c r="DR28" s="559">
        <f t="shared" si="37"/>
        <v>1.0851630000000001</v>
      </c>
      <c r="DS28" s="755"/>
      <c r="DT28" s="837"/>
      <c r="DU28" s="755"/>
      <c r="DV28" s="840">
        <f t="shared" si="107"/>
        <v>25</v>
      </c>
      <c r="DW28" s="850">
        <f>GG28</f>
        <v>25</v>
      </c>
      <c r="DX28" s="569" t="s">
        <v>427</v>
      </c>
      <c r="DY28" s="560">
        <f t="shared" si="39"/>
        <v>1.3439791206256056E-3</v>
      </c>
      <c r="DZ28" s="430">
        <f t="shared" si="40"/>
        <v>5831.5282948990016</v>
      </c>
      <c r="EA28" s="559">
        <f t="shared" si="41"/>
        <v>1.005406</v>
      </c>
      <c r="EB28" s="755"/>
      <c r="EC28" s="837"/>
      <c r="ED28" s="20"/>
      <c r="EJ28" s="20"/>
      <c r="EK28" s="837"/>
      <c r="EL28" s="20"/>
      <c r="EM28" s="840">
        <f t="shared" si="108"/>
        <v>25</v>
      </c>
      <c r="EN28" s="850">
        <f>FR28</f>
        <v>25</v>
      </c>
      <c r="EO28" s="569" t="s">
        <v>427</v>
      </c>
      <c r="EP28" s="560">
        <f t="shared" si="43"/>
        <v>8.3216176643271676E-4</v>
      </c>
      <c r="EQ28" s="430">
        <f t="shared" si="44"/>
        <v>6948.5164488591736</v>
      </c>
      <c r="ER28" s="560">
        <f t="shared" si="45"/>
        <v>1.093773285568897E-3</v>
      </c>
      <c r="ES28" s="430">
        <f t="shared" si="46"/>
        <v>1199.0186426514188</v>
      </c>
      <c r="ET28" s="560">
        <f t="shared" si="47"/>
        <v>2.594307261315948E-4</v>
      </c>
      <c r="EU28" s="430">
        <f t="shared" si="48"/>
        <v>1109.5998947849662</v>
      </c>
      <c r="EV28" s="430">
        <f t="shared" si="49"/>
        <v>9257.1349862955576</v>
      </c>
      <c r="EW28" s="560">
        <f t="shared" si="50"/>
        <v>6.745591112287039E-4</v>
      </c>
      <c r="EX28" s="559">
        <f t="shared" si="51"/>
        <v>1.5960110000000001</v>
      </c>
      <c r="EY28" s="20"/>
      <c r="EZ28" s="837"/>
      <c r="FA28" s="20"/>
      <c r="FE28" s="20"/>
      <c r="FF28" s="837"/>
      <c r="FG28" s="755"/>
      <c r="FH28" s="840">
        <f t="shared" si="109"/>
        <v>25</v>
      </c>
      <c r="FI28" s="841">
        <f t="shared" si="52"/>
        <v>25</v>
      </c>
      <c r="FJ28" s="569" t="s">
        <v>427</v>
      </c>
      <c r="FK28" s="560">
        <f>Y28</f>
        <v>8.3216176643271676E-4</v>
      </c>
      <c r="FL28" s="430">
        <f t="shared" si="54"/>
        <v>18493.020300061824</v>
      </c>
      <c r="FM28" s="559">
        <f t="shared" si="55"/>
        <v>3.188358</v>
      </c>
      <c r="FQ28" s="428">
        <f t="shared" si="79"/>
        <v>25</v>
      </c>
      <c r="FR28" s="841">
        <v>25</v>
      </c>
      <c r="FS28" s="569" t="s">
        <v>427</v>
      </c>
      <c r="FT28" s="430">
        <f t="shared" si="80"/>
        <v>34671.525281859394</v>
      </c>
      <c r="FU28" s="430">
        <f t="shared" si="56"/>
        <v>9643.8239003780072</v>
      </c>
      <c r="FV28" s="430">
        <f t="shared" si="57"/>
        <v>29758.598023379189</v>
      </c>
      <c r="FW28" s="430">
        <f t="shared" si="58"/>
        <v>6294.1303608548524</v>
      </c>
      <c r="FX28" s="430">
        <f t="shared" si="59"/>
        <v>5831.5282948990016</v>
      </c>
      <c r="FY28" s="430">
        <f t="shared" si="60"/>
        <v>9257.1349862955576</v>
      </c>
      <c r="FZ28" s="430">
        <f t="shared" si="61"/>
        <v>18493.020300061824</v>
      </c>
      <c r="GA28" s="430">
        <f t="shared" si="118"/>
        <v>113949.76114772783</v>
      </c>
      <c r="GB28" s="851">
        <f t="shared" si="63"/>
        <v>19.645935000000001</v>
      </c>
      <c r="GF28" s="840">
        <f t="shared" si="81"/>
        <v>25</v>
      </c>
      <c r="GG28" s="841">
        <f t="shared" si="64"/>
        <v>25</v>
      </c>
      <c r="GH28" s="569" t="s">
        <v>427</v>
      </c>
      <c r="GI28" s="559">
        <f t="shared" si="82"/>
        <v>5.9776740000000004</v>
      </c>
      <c r="GJ28" s="559">
        <f t="shared" si="65"/>
        <v>1.6626799999999999</v>
      </c>
      <c r="GK28" s="559">
        <f t="shared" si="66"/>
        <v>5.1306419999999999</v>
      </c>
      <c r="GL28" s="559">
        <f t="shared" si="67"/>
        <v>1.0851630000000001</v>
      </c>
      <c r="GM28" s="559">
        <f t="shared" si="68"/>
        <v>1.005406</v>
      </c>
      <c r="GN28" s="559">
        <f t="shared" si="69"/>
        <v>1.5960110000000001</v>
      </c>
      <c r="GO28" s="559">
        <f t="shared" si="70"/>
        <v>3.188358</v>
      </c>
      <c r="GP28" s="559">
        <f t="shared" si="71"/>
        <v>19.645935000000001</v>
      </c>
      <c r="GQ28" s="839">
        <v>580017</v>
      </c>
      <c r="GR28" s="755"/>
      <c r="GU28" s="428">
        <f t="shared" si="83"/>
        <v>25</v>
      </c>
      <c r="GV28" s="841">
        <f>FR28</f>
        <v>25</v>
      </c>
      <c r="GW28" s="569" t="s">
        <v>427</v>
      </c>
      <c r="GX28" s="557" t="s">
        <v>385</v>
      </c>
      <c r="GY28" s="430">
        <f>GA28</f>
        <v>113949.76114772783</v>
      </c>
      <c r="GZ28" s="839">
        <f>VLOOKUP(GV28,$GG$4:$GQ$28,$GZ$35,FALSE)</f>
        <v>580017</v>
      </c>
      <c r="HA28" s="559">
        <f t="shared" si="84"/>
        <v>19.645935000000001</v>
      </c>
      <c r="HB28" s="430">
        <f t="shared" si="72"/>
        <v>113949.76280895001</v>
      </c>
      <c r="HC28" s="808">
        <f t="shared" si="73"/>
        <v>1.6612221807008609E-3</v>
      </c>
      <c r="HD28" s="789"/>
      <c r="HG28" s="789"/>
      <c r="HH28" s="789"/>
      <c r="HI28" s="789"/>
      <c r="HJ28" s="789"/>
      <c r="HK28" s="789"/>
      <c r="HL28" s="789"/>
      <c r="HM28" s="789"/>
      <c r="HP28" s="840">
        <f t="shared" si="110"/>
        <v>25</v>
      </c>
      <c r="HQ28" s="852">
        <f>FR28</f>
        <v>25</v>
      </c>
      <c r="HR28" s="569" t="s">
        <v>427</v>
      </c>
      <c r="HS28" s="839">
        <v>580017</v>
      </c>
      <c r="HT28" s="853">
        <f t="shared" si="85"/>
        <v>19.645935000000001</v>
      </c>
      <c r="HU28" s="853">
        <v>18.972000000000001</v>
      </c>
      <c r="HV28" s="816">
        <f t="shared" si="86"/>
        <v>3.5522612270714848E-2</v>
      </c>
      <c r="HW28" s="853">
        <f t="shared" si="87"/>
        <v>0.67393500000000017</v>
      </c>
      <c r="HX28" s="829">
        <v>25</v>
      </c>
      <c r="IO28" s="840">
        <f t="shared" si="111"/>
        <v>25</v>
      </c>
      <c r="IP28" s="852">
        <v>25</v>
      </c>
      <c r="IQ28" s="569" t="s">
        <v>427</v>
      </c>
      <c r="IR28" s="854">
        <f t="shared" si="88"/>
        <v>113949.76114772783</v>
      </c>
      <c r="IS28" s="855">
        <f t="shared" si="88"/>
        <v>580017</v>
      </c>
      <c r="IT28" s="856">
        <f t="shared" si="88"/>
        <v>19.645935000000001</v>
      </c>
      <c r="IU28" s="839">
        <f t="shared" si="89"/>
        <v>83031.660714157362</v>
      </c>
      <c r="IV28" s="839">
        <f t="shared" si="90"/>
        <v>496985.33928584261</v>
      </c>
      <c r="IW28" s="854">
        <f t="shared" si="91"/>
        <v>1245.4749107123605</v>
      </c>
      <c r="IX28" s="854">
        <f t="shared" si="92"/>
        <v>112704.28623701546</v>
      </c>
      <c r="IY28" s="857">
        <f>IX28/IS28*100</f>
        <v>19.431203953852293</v>
      </c>
      <c r="IZ28" s="857">
        <f>IY28+1.5</f>
        <v>20.931203953852293</v>
      </c>
      <c r="JA28" s="854">
        <f t="shared" si="95"/>
        <v>113949.7611477278</v>
      </c>
      <c r="JB28" s="851">
        <f t="shared" si="96"/>
        <v>0.21473104614770833</v>
      </c>
      <c r="JF28" s="840">
        <f t="shared" si="112"/>
        <v>25</v>
      </c>
      <c r="JG28" s="852">
        <f>FR28</f>
        <v>25</v>
      </c>
      <c r="JH28" s="569" t="s">
        <v>427</v>
      </c>
      <c r="JI28" s="839">
        <v>580017</v>
      </c>
      <c r="JJ28" s="853">
        <f t="shared" si="97"/>
        <v>19.431203953852293</v>
      </c>
      <c r="JK28" s="853">
        <v>18.753</v>
      </c>
      <c r="JL28" s="816">
        <f t="shared" si="114"/>
        <v>3.616509112420907E-2</v>
      </c>
      <c r="JM28" s="853">
        <f t="shared" si="99"/>
        <v>0.67820395385229304</v>
      </c>
      <c r="JN28" s="829">
        <v>25</v>
      </c>
    </row>
    <row r="29" spans="2:275" ht="17.25" thickBot="1" x14ac:dyDescent="0.35">
      <c r="F29" s="755"/>
      <c r="G29" s="858"/>
      <c r="H29" s="755"/>
      <c r="I29" s="823">
        <f t="shared" si="100"/>
        <v>26</v>
      </c>
      <c r="J29" s="628"/>
      <c r="K29" s="819" t="s">
        <v>72</v>
      </c>
      <c r="L29" s="859">
        <f>SUM(L4:L28)</f>
        <v>2235729779</v>
      </c>
      <c r="M29" s="813">
        <f>SUM(M4:M28)</f>
        <v>1.0000000000000002</v>
      </c>
      <c r="N29" s="859">
        <f>SUM(N4:N28)</f>
        <v>18339.7</v>
      </c>
      <c r="O29" s="859">
        <f>SUM(O4:O28)</f>
        <v>1844303.3006727977</v>
      </c>
      <c r="P29" s="813">
        <f>SUM(P4:P28)</f>
        <v>1.0000000000000002</v>
      </c>
      <c r="Q29" s="860"/>
      <c r="R29" s="755"/>
      <c r="S29" s="858"/>
      <c r="T29" s="755"/>
      <c r="U29" s="823">
        <f t="shared" si="101"/>
        <v>26</v>
      </c>
      <c r="V29" s="861"/>
      <c r="W29" s="862" t="s">
        <v>72</v>
      </c>
      <c r="X29" s="396">
        <f>SUM(X4:X28)</f>
        <v>103585155.36094388</v>
      </c>
      <c r="Y29" s="813">
        <f>SUM(Y4:Y28)</f>
        <v>1</v>
      </c>
      <c r="Z29" s="20"/>
      <c r="AA29" s="837"/>
      <c r="AB29" s="20"/>
      <c r="AG29" s="755"/>
      <c r="AH29" s="858"/>
      <c r="AI29" s="755"/>
      <c r="AJ29" s="755"/>
      <c r="AK29" s="755"/>
      <c r="AL29" s="755"/>
      <c r="AP29" s="823">
        <f t="shared" si="77"/>
        <v>26</v>
      </c>
      <c r="AQ29" s="863"/>
      <c r="AR29" s="864" t="s">
        <v>72</v>
      </c>
      <c r="AS29" s="865">
        <f>AL7</f>
        <v>3.427025237435906</v>
      </c>
      <c r="AT29" s="859">
        <f>SUM(AT4:AT28)</f>
        <v>2235729779</v>
      </c>
      <c r="AU29" s="859">
        <f>SUM(AU4:AU28)</f>
        <v>2128306.2157555558</v>
      </c>
      <c r="AV29" s="859">
        <f>SUM(AV4:AV28)</f>
        <v>2093547.5485628471</v>
      </c>
      <c r="AW29" s="866">
        <f>SUMPRODUCT(AW4:AW28,AT4:AT28)/AT29</f>
        <v>21.511220758941374</v>
      </c>
      <c r="AX29" s="401">
        <f>SUM(AX4:AX28)</f>
        <v>45034763.48647593</v>
      </c>
      <c r="AY29" s="867">
        <f t="shared" si="10"/>
        <v>1</v>
      </c>
      <c r="AZ29" s="868">
        <f>AX29*100/$L$29</f>
        <v>2.0143205099955832</v>
      </c>
      <c r="BA29" s="755"/>
      <c r="BB29" s="858"/>
      <c r="BC29" s="755"/>
      <c r="BD29" s="755"/>
      <c r="BE29" s="755"/>
      <c r="BF29" s="755"/>
      <c r="BG29" s="755"/>
      <c r="BH29" s="755"/>
      <c r="BI29" s="858"/>
      <c r="BJ29" s="755"/>
      <c r="BK29" s="389">
        <f t="shared" si="104"/>
        <v>26</v>
      </c>
      <c r="BL29" s="869"/>
      <c r="BM29" s="870" t="s">
        <v>72</v>
      </c>
      <c r="BN29" s="871">
        <f>SUM(BN4:BN28)</f>
        <v>1</v>
      </c>
      <c r="BO29" s="392">
        <f>BG4</f>
        <v>9369173.0225375015</v>
      </c>
      <c r="BP29" s="871">
        <f>SUM(BP4:BP28)</f>
        <v>1.0000000000000002</v>
      </c>
      <c r="BQ29" s="392">
        <f>BG5</f>
        <v>9369173.0225375015</v>
      </c>
      <c r="BR29" s="872">
        <f>C6</f>
        <v>18738346.045075003</v>
      </c>
      <c r="BS29" s="873">
        <f>BR29*100/$L$29</f>
        <v>0.83813107563724965</v>
      </c>
      <c r="BT29" s="755"/>
      <c r="BU29" s="858"/>
      <c r="BV29" s="874"/>
      <c r="BW29" s="235"/>
      <c r="BX29" s="235"/>
      <c r="BY29" s="235"/>
      <c r="BZ29" s="235"/>
      <c r="CA29" s="235"/>
      <c r="CB29" s="235"/>
      <c r="CC29" s="235"/>
      <c r="CD29" s="235"/>
      <c r="CE29" s="755"/>
      <c r="CF29" s="858"/>
      <c r="CG29" s="20"/>
      <c r="CH29" s="389">
        <f t="shared" si="105"/>
        <v>26</v>
      </c>
      <c r="CI29" s="861"/>
      <c r="CJ29" s="819" t="s">
        <v>72</v>
      </c>
      <c r="CK29" s="554">
        <f>SUM(CK4:CK28)</f>
        <v>1.0000000000000002</v>
      </c>
      <c r="CL29" s="392">
        <f>CC9</f>
        <v>6276732.9710473148</v>
      </c>
      <c r="CM29" s="554">
        <f>SUM(CM4:CM28)</f>
        <v>1.0000000000000002</v>
      </c>
      <c r="CN29" s="392">
        <f>CD9</f>
        <v>20930548.8450386</v>
      </c>
      <c r="CO29" s="392">
        <f>SUM(CO4:CO28)</f>
        <v>27207281.816085909</v>
      </c>
      <c r="CP29" s="554">
        <f>SUM(CP4:CP28)</f>
        <v>1</v>
      </c>
      <c r="CQ29" s="873">
        <f>CO29*100/$L$29</f>
        <v>1.2169306895511862</v>
      </c>
      <c r="CR29" s="20"/>
      <c r="CS29" s="858"/>
      <c r="CT29" s="755"/>
      <c r="DD29" s="874"/>
      <c r="DE29" s="858"/>
      <c r="DF29" s="755"/>
      <c r="DG29" s="823">
        <f t="shared" si="106"/>
        <v>26</v>
      </c>
      <c r="DH29" s="863"/>
      <c r="DI29" s="864" t="s">
        <v>72</v>
      </c>
      <c r="DJ29" s="554">
        <f>SUM(DJ4:DJ28)</f>
        <v>1</v>
      </c>
      <c r="DK29" s="392">
        <f>CZ7</f>
        <v>317644.00109198852</v>
      </c>
      <c r="DL29" s="554">
        <f>SUM(DL4:DL28)</f>
        <v>1.0000000000000002</v>
      </c>
      <c r="DM29" s="392">
        <f>DA7</f>
        <v>3581872.2978801923</v>
      </c>
      <c r="DN29" s="554">
        <f>SUM(DN4:DN28)</f>
        <v>1.0000000000000002</v>
      </c>
      <c r="DO29" s="392">
        <f>DB7</f>
        <v>4366245.5636284389</v>
      </c>
      <c r="DP29" s="392">
        <f>SUM(DP4:DP28)</f>
        <v>8265761.8626006208</v>
      </c>
      <c r="DQ29" s="554">
        <f>SUM(DQ4:DQ28)</f>
        <v>1</v>
      </c>
      <c r="DR29" s="873">
        <f>DP29*100/$L$29</f>
        <v>0.36971202603463738</v>
      </c>
      <c r="DS29" s="755"/>
      <c r="DT29" s="858"/>
      <c r="DU29" s="755"/>
      <c r="DV29" s="823">
        <f t="shared" si="107"/>
        <v>26</v>
      </c>
      <c r="DW29" s="863"/>
      <c r="DX29" s="864" t="s">
        <v>72</v>
      </c>
      <c r="DY29" s="554">
        <f>SUM(DY4:DY28)</f>
        <v>1.0000000000000002</v>
      </c>
      <c r="DZ29" s="392">
        <f>C9</f>
        <v>4339002.150706402</v>
      </c>
      <c r="EA29" s="873">
        <f>DZ29*100/$L$29</f>
        <v>0.19407542858990573</v>
      </c>
      <c r="EB29" s="755"/>
      <c r="EC29" s="858"/>
      <c r="ED29" s="755"/>
      <c r="EJ29" s="755"/>
      <c r="EK29" s="858"/>
      <c r="EL29" s="755"/>
      <c r="EM29" s="823">
        <f t="shared" si="108"/>
        <v>26</v>
      </c>
      <c r="EN29" s="863"/>
      <c r="EO29" s="864" t="s">
        <v>72</v>
      </c>
      <c r="EP29" s="554">
        <f>SUM(EP4:EP28)</f>
        <v>1</v>
      </c>
      <c r="EQ29" s="392">
        <f>EI4</f>
        <v>8349958.7810262442</v>
      </c>
      <c r="ER29" s="554">
        <f>SUM(ER4:ER28)</f>
        <v>1</v>
      </c>
      <c r="ES29" s="392">
        <f>EI5</f>
        <v>1096222.277935579</v>
      </c>
      <c r="ET29" s="554">
        <f>SUM(ET4:ET28)</f>
        <v>1.0000000000000002</v>
      </c>
      <c r="EU29" s="392">
        <f>EI6</f>
        <v>4277056.5820415886</v>
      </c>
      <c r="EV29" s="392">
        <f>SUM(EV4:EV28)</f>
        <v>13723237.641003413</v>
      </c>
      <c r="EW29" s="554">
        <f>SUM(EW4:EW28)</f>
        <v>1</v>
      </c>
      <c r="EX29" s="873">
        <f>EV29*100/$L$29</f>
        <v>0.61381468234240544</v>
      </c>
      <c r="EY29" s="755"/>
      <c r="EZ29" s="858"/>
      <c r="FA29" s="755"/>
      <c r="FE29" s="755"/>
      <c r="FF29" s="858"/>
      <c r="FG29" s="755"/>
      <c r="FH29" s="823">
        <f t="shared" si="109"/>
        <v>26</v>
      </c>
      <c r="FI29" s="875"/>
      <c r="FJ29" s="548" t="s">
        <v>72</v>
      </c>
      <c r="FK29" s="554">
        <f>Y29</f>
        <v>1</v>
      </c>
      <c r="FL29" s="392">
        <f>FD6</f>
        <v>22222867.050642192</v>
      </c>
      <c r="FM29" s="873">
        <f>FL29*100/$L$29</f>
        <v>0.99398716514757279</v>
      </c>
      <c r="FN29" s="20"/>
      <c r="FQ29" s="389">
        <f t="shared" si="79"/>
        <v>26</v>
      </c>
      <c r="FR29" s="876"/>
      <c r="FS29" s="870" t="s">
        <v>72</v>
      </c>
      <c r="FT29" s="392">
        <f t="shared" ref="FT29:FZ29" si="121">SUM(FT4:FT28)</f>
        <v>45034763.48647593</v>
      </c>
      <c r="FU29" s="392">
        <f t="shared" si="121"/>
        <v>18738346.045075007</v>
      </c>
      <c r="FV29" s="392">
        <f t="shared" si="121"/>
        <v>27207281.816085909</v>
      </c>
      <c r="FW29" s="392">
        <f t="shared" si="121"/>
        <v>8265761.8626006208</v>
      </c>
      <c r="FX29" s="392">
        <f t="shared" si="121"/>
        <v>4339002.1507064011</v>
      </c>
      <c r="FY29" s="392">
        <f t="shared" si="121"/>
        <v>13723237.641003413</v>
      </c>
      <c r="FZ29" s="392">
        <f t="shared" si="121"/>
        <v>22222867.050642196</v>
      </c>
      <c r="GA29" s="392">
        <f>SUM(FT29:FZ29)</f>
        <v>139531260.05258948</v>
      </c>
      <c r="GB29" s="877">
        <v>6.2409715772985406</v>
      </c>
      <c r="GC29" s="20"/>
      <c r="GF29" s="823">
        <f t="shared" si="81"/>
        <v>26</v>
      </c>
      <c r="GG29" s="878"/>
      <c r="GH29" s="819" t="s">
        <v>72</v>
      </c>
      <c r="GI29" s="873">
        <f t="shared" ref="GI29:GP29" si="122">FT29*100/$GQ$29</f>
        <v>2.0143205099955832</v>
      </c>
      <c r="GJ29" s="873">
        <f t="shared" si="122"/>
        <v>0.83813107563724976</v>
      </c>
      <c r="GK29" s="873">
        <f t="shared" si="122"/>
        <v>1.2169306895511862</v>
      </c>
      <c r="GL29" s="873">
        <f t="shared" si="122"/>
        <v>0.36971202603463738</v>
      </c>
      <c r="GM29" s="873">
        <f t="shared" si="122"/>
        <v>0.19407542858990567</v>
      </c>
      <c r="GN29" s="873">
        <f t="shared" si="122"/>
        <v>0.61381468234240544</v>
      </c>
      <c r="GO29" s="873">
        <f t="shared" si="122"/>
        <v>0.99398716514757279</v>
      </c>
      <c r="GP29" s="877">
        <f t="shared" si="122"/>
        <v>6.2409715772985406</v>
      </c>
      <c r="GQ29" s="859">
        <f>SUM(GQ4:GQ28)</f>
        <v>2235729779</v>
      </c>
      <c r="GR29" s="879"/>
      <c r="GU29" s="389">
        <f t="shared" si="83"/>
        <v>26</v>
      </c>
      <c r="GV29" s="876"/>
      <c r="GW29" s="870" t="s">
        <v>72</v>
      </c>
      <c r="GX29" s="628"/>
      <c r="GY29" s="392">
        <f>SUM(GY4:GY28)</f>
        <v>139531260.05258948</v>
      </c>
      <c r="GZ29" s="880">
        <f>SUM(GZ4:GZ28)</f>
        <v>2235729779</v>
      </c>
      <c r="HA29" s="873">
        <f t="shared" ref="HA29" si="123">IF(GZ29&lt;&gt;0,GY29/GZ29*100,0)</f>
        <v>6.2409715772985406</v>
      </c>
      <c r="HB29" s="392">
        <f>SUM(HB4:HB28)</f>
        <v>139531268.0386793</v>
      </c>
      <c r="HC29" s="822">
        <f>SUM(HC4:HC28)</f>
        <v>7.986089811404554</v>
      </c>
      <c r="HD29" s="881"/>
      <c r="HG29" s="881"/>
      <c r="HH29" s="881"/>
      <c r="HI29" s="881"/>
      <c r="HJ29" s="881"/>
      <c r="HK29" s="881"/>
      <c r="HL29" s="881"/>
      <c r="HM29" s="881"/>
      <c r="HP29" s="823">
        <f t="shared" si="110"/>
        <v>26</v>
      </c>
      <c r="HQ29" s="882" t="s">
        <v>72</v>
      </c>
      <c r="HR29" s="819"/>
      <c r="HS29" s="883">
        <f>SUM(HS4:HS28)</f>
        <v>2235729779</v>
      </c>
      <c r="HT29" s="884">
        <f>HA29</f>
        <v>6.2409715772985406</v>
      </c>
      <c r="HU29" s="884">
        <f>SUMPRODUCT(HS4:HS28,HU4:HU28)/SUM(HS4:HS28)</f>
        <v>5.8610801367091332</v>
      </c>
      <c r="HV29" s="827">
        <f>IF(HU29&lt;&gt;0,HT29/HU29-1,"")</f>
        <v>6.481594377290123E-2</v>
      </c>
      <c r="HW29" s="885">
        <f t="shared" si="87"/>
        <v>0.37989144058940738</v>
      </c>
      <c r="HX29" s="886"/>
      <c r="HY29" s="20"/>
      <c r="HZ29" s="837"/>
      <c r="IA29" s="20"/>
      <c r="IL29" s="20"/>
      <c r="IM29" s="837"/>
      <c r="IN29" s="20"/>
      <c r="IO29" s="887">
        <f t="shared" si="111"/>
        <v>26</v>
      </c>
      <c r="IP29" s="882" t="s">
        <v>72</v>
      </c>
      <c r="IQ29" s="819"/>
      <c r="IR29" s="888">
        <f>SUM(IR4:IR28)</f>
        <v>139531260.05258948</v>
      </c>
      <c r="IS29" s="883">
        <f>SUM(IS4:IS28)</f>
        <v>2235729779</v>
      </c>
      <c r="IT29" s="889">
        <f>SUMPRODUCT(IS4:IS28,IT4:IT28)/SUM(IS4:IS28)</f>
        <v>6.2409719345013626</v>
      </c>
      <c r="IU29" s="883">
        <f>SUM(IU4:IU28)</f>
        <v>315893346.00000006</v>
      </c>
      <c r="IV29" s="883">
        <f>SUM(IV4:IV28)</f>
        <v>1919836432.9999998</v>
      </c>
      <c r="IW29" s="888">
        <f>SUM(IW4:IW28)</f>
        <v>4738400.1900000004</v>
      </c>
      <c r="IX29" s="888">
        <f>SUM(IX4:IX28)</f>
        <v>134792859.86258948</v>
      </c>
      <c r="IY29" s="877">
        <f>IX29/IS29*100</f>
        <v>6.0290318234648099</v>
      </c>
      <c r="IZ29" s="877">
        <f>SUMPRODUCT(IU4:IU28,IZ4:IZ28)/SUM(IU4:IU28)</f>
        <v>7.4839336525353604</v>
      </c>
      <c r="JA29" s="888">
        <f>SUM(JA4:JA28)</f>
        <v>139531260.05191466</v>
      </c>
      <c r="JB29" s="890"/>
      <c r="JF29" s="823">
        <f t="shared" si="112"/>
        <v>26</v>
      </c>
      <c r="JG29" s="882" t="s">
        <v>72</v>
      </c>
      <c r="JH29" s="819"/>
      <c r="JI29" s="883">
        <f>SUM(JI4:JI28)</f>
        <v>2235729779</v>
      </c>
      <c r="JJ29" s="884">
        <f>IY29</f>
        <v>6.0290318234648099</v>
      </c>
      <c r="JK29" s="884">
        <f>SUMPRODUCT($JI4:$JI28,JK4:JK28)/SUM($JI4:$JI28)</f>
        <v>5.6449250478199247</v>
      </c>
      <c r="JL29" s="827">
        <f>IF(JK29&lt;&gt;0,JJ29/JK29-1,"")</f>
        <v>6.8044619262611405E-2</v>
      </c>
      <c r="JM29" s="885">
        <f t="shared" si="99"/>
        <v>0.38410677564488527</v>
      </c>
      <c r="JN29" s="886"/>
      <c r="JO29" s="6"/>
    </row>
    <row r="30" spans="2:275" x14ac:dyDescent="0.3">
      <c r="F30" s="755"/>
      <c r="G30" s="858"/>
      <c r="H30" s="755"/>
      <c r="L30" s="309"/>
      <c r="N30" s="309"/>
      <c r="O30" s="309"/>
      <c r="R30" s="755"/>
      <c r="S30" s="858"/>
      <c r="T30" s="755"/>
      <c r="U30" s="739"/>
      <c r="V30" s="755"/>
      <c r="Z30" s="755"/>
      <c r="AA30" s="858"/>
      <c r="AB30" s="755"/>
      <c r="AG30" s="755"/>
      <c r="AH30" s="858"/>
      <c r="AI30" s="755"/>
      <c r="AJ30" s="755"/>
      <c r="AK30" s="755"/>
      <c r="AL30" s="755"/>
      <c r="AP30" s="891"/>
      <c r="AQ30" s="891"/>
      <c r="AR30" s="755"/>
      <c r="AS30" s="755"/>
      <c r="AT30" s="755"/>
      <c r="AU30" s="755"/>
      <c r="AV30" s="892"/>
      <c r="AW30" s="755"/>
      <c r="AX30" s="755"/>
      <c r="AY30" s="755"/>
      <c r="AZ30" s="755"/>
      <c r="BA30" s="755"/>
      <c r="BB30" s="858"/>
      <c r="BC30" s="755"/>
      <c r="BD30" s="755"/>
      <c r="BE30" s="755"/>
      <c r="BF30" s="755"/>
      <c r="BG30" s="755"/>
      <c r="BH30" s="755"/>
      <c r="BI30" s="858"/>
      <c r="BJ30" s="755"/>
      <c r="BT30" s="755"/>
      <c r="BU30" s="858"/>
      <c r="BV30" s="874"/>
      <c r="BW30" s="235"/>
      <c r="BX30" s="235"/>
      <c r="BY30" s="235"/>
      <c r="BZ30" s="235"/>
      <c r="CA30" s="235"/>
      <c r="CB30" s="235"/>
      <c r="CC30" s="235"/>
      <c r="CD30" s="235"/>
      <c r="CE30" s="755"/>
      <c r="CF30" s="858"/>
      <c r="CG30" s="755"/>
      <c r="CH30" s="6"/>
      <c r="CL30" s="21"/>
      <c r="CN30" s="21"/>
      <c r="CO30" s="21"/>
      <c r="CR30" s="755"/>
      <c r="CS30" s="858"/>
      <c r="CT30" s="755"/>
      <c r="DD30" s="874"/>
      <c r="DE30" s="858"/>
      <c r="DF30" s="755"/>
      <c r="DG30" s="755"/>
      <c r="DH30" s="755"/>
      <c r="DI30" s="755"/>
      <c r="DJ30" s="755"/>
      <c r="DK30" s="755"/>
      <c r="DL30" s="755"/>
      <c r="DM30" s="755"/>
      <c r="DN30" s="755"/>
      <c r="DO30" s="755"/>
      <c r="DP30" s="755"/>
      <c r="DQ30" s="755"/>
      <c r="DR30" s="755"/>
      <c r="DT30" s="858"/>
      <c r="DU30" s="755"/>
      <c r="DV30" s="739"/>
      <c r="DW30" s="755"/>
      <c r="DX30" s="755"/>
      <c r="DY30" s="755"/>
      <c r="DZ30" s="755"/>
      <c r="EA30" s="755"/>
      <c r="EC30" s="858"/>
      <c r="ED30" s="755"/>
      <c r="EJ30" s="755"/>
      <c r="EK30" s="858"/>
      <c r="EL30" s="755"/>
      <c r="EM30" s="755"/>
      <c r="EN30" s="755"/>
      <c r="EO30" s="755"/>
      <c r="EP30" s="755"/>
      <c r="EQ30" s="755"/>
      <c r="ER30" s="755"/>
      <c r="ES30" s="755"/>
      <c r="ET30" s="755"/>
      <c r="EU30" s="893"/>
      <c r="EV30" s="755"/>
      <c r="EW30" s="755"/>
      <c r="EX30" s="755"/>
      <c r="EY30" s="755"/>
      <c r="EZ30" s="858"/>
      <c r="FA30" s="755"/>
      <c r="FE30" s="755"/>
      <c r="FF30" s="858"/>
      <c r="FG30" s="755"/>
      <c r="FH30" s="755"/>
      <c r="FI30" s="755"/>
      <c r="FJ30" s="755"/>
      <c r="FK30" s="755"/>
      <c r="FL30" s="755"/>
      <c r="FM30" s="755"/>
      <c r="FN30" s="755"/>
      <c r="GF30" s="755"/>
      <c r="GG30" s="755"/>
      <c r="GH30" s="755"/>
      <c r="GI30" s="755"/>
      <c r="GJ30" s="755"/>
      <c r="GK30" s="755"/>
      <c r="GL30" s="755"/>
      <c r="GM30" s="755"/>
      <c r="GN30" s="755"/>
      <c r="GO30" s="755"/>
      <c r="GP30" s="755"/>
      <c r="GQ30" s="755"/>
      <c r="GR30" s="755"/>
      <c r="HD30" s="260"/>
      <c r="HG30" s="789"/>
      <c r="HH30" s="789"/>
      <c r="HI30" s="789"/>
      <c r="HJ30" s="789"/>
      <c r="HK30" s="789"/>
      <c r="HL30" s="260"/>
      <c r="HM30" s="260"/>
      <c r="HY30" s="755"/>
      <c r="HZ30" s="858"/>
      <c r="IA30" s="755"/>
      <c r="IO30" s="739"/>
      <c r="IP30" s="755"/>
    </row>
    <row r="31" spans="2:275" x14ac:dyDescent="0.3">
      <c r="G31" s="858"/>
      <c r="H31" s="755"/>
      <c r="S31" s="858"/>
      <c r="T31" s="755"/>
      <c r="U31" s="739"/>
      <c r="V31" s="755"/>
      <c r="Z31" s="755"/>
      <c r="AA31" s="858"/>
      <c r="AB31" s="755"/>
      <c r="AH31" s="858"/>
      <c r="AI31" s="755"/>
      <c r="AJ31" s="755"/>
      <c r="AK31" s="755"/>
      <c r="AL31" s="755"/>
      <c r="AO31" s="894"/>
      <c r="AP31" s="895" t="s">
        <v>396</v>
      </c>
      <c r="AQ31" s="895"/>
      <c r="AR31" s="895"/>
      <c r="AS31" s="895">
        <v>3</v>
      </c>
      <c r="AT31" s="895">
        <v>3</v>
      </c>
      <c r="AU31" s="895"/>
      <c r="AV31" s="895"/>
      <c r="AW31" s="895"/>
      <c r="AX31" s="895"/>
      <c r="AY31" s="895"/>
      <c r="AZ31" s="895">
        <v>4</v>
      </c>
      <c r="BB31" s="858"/>
      <c r="BC31" s="755"/>
      <c r="BD31" s="755"/>
      <c r="BE31" s="755"/>
      <c r="BF31" s="755"/>
      <c r="BG31" s="755"/>
      <c r="BI31" s="858"/>
      <c r="BJ31" s="755"/>
      <c r="BM31" s="583"/>
      <c r="BN31" s="583"/>
      <c r="BO31" s="583"/>
      <c r="BP31" s="583"/>
      <c r="BQ31" s="583"/>
      <c r="BR31" s="583"/>
      <c r="BS31" s="583"/>
      <c r="BU31" s="858"/>
      <c r="BV31" s="874"/>
      <c r="BW31" s="235"/>
      <c r="BX31" s="235"/>
      <c r="BY31" s="235"/>
      <c r="BZ31" s="235"/>
      <c r="CA31" s="235"/>
      <c r="CB31" s="235"/>
      <c r="CC31" s="235"/>
      <c r="CD31" s="235"/>
      <c r="CF31" s="858"/>
      <c r="CG31" s="755"/>
      <c r="CJ31" s="23"/>
      <c r="CL31" s="21"/>
      <c r="CN31" s="21"/>
      <c r="CO31" s="21"/>
      <c r="CR31" s="755"/>
      <c r="CS31" s="858"/>
      <c r="CT31" s="755"/>
      <c r="DD31" s="235"/>
      <c r="DE31" s="858"/>
      <c r="DF31" s="755"/>
      <c r="DG31" s="755"/>
      <c r="DH31" s="755"/>
      <c r="DI31" s="23" t="s">
        <v>398</v>
      </c>
      <c r="DJ31" s="896"/>
      <c r="DK31" s="896"/>
      <c r="DL31" s="896"/>
      <c r="DM31" s="896"/>
      <c r="DN31" s="896"/>
      <c r="DO31" s="896"/>
      <c r="DP31" s="896"/>
      <c r="DQ31" s="896"/>
      <c r="DR31" s="896"/>
      <c r="DT31" s="858"/>
      <c r="DU31" s="755"/>
      <c r="DV31" s="755"/>
      <c r="DW31" s="755"/>
      <c r="DX31" s="914" t="s">
        <v>398</v>
      </c>
      <c r="DY31" s="914"/>
      <c r="DZ31" s="914"/>
      <c r="EA31" s="914"/>
      <c r="EC31" s="858"/>
      <c r="ED31" s="755"/>
      <c r="EK31" s="858"/>
      <c r="EL31" s="755"/>
      <c r="EM31" s="755"/>
      <c r="EN31" s="755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Z31" s="858"/>
      <c r="FA31" s="755"/>
      <c r="FF31" s="858"/>
      <c r="FG31" s="755"/>
      <c r="FH31" s="895"/>
      <c r="FI31" s="895" t="s">
        <v>396</v>
      </c>
      <c r="FJ31" s="897"/>
      <c r="FK31" s="897"/>
      <c r="FL31" s="897"/>
      <c r="FM31" s="897">
        <v>4</v>
      </c>
      <c r="FN31" s="755"/>
      <c r="GB31"/>
      <c r="GF31" s="755"/>
      <c r="GG31" s="755"/>
      <c r="GH31" s="755"/>
      <c r="GI31" s="780"/>
      <c r="GJ31" s="780"/>
      <c r="GK31" s="780"/>
      <c r="GL31" s="780"/>
      <c r="GM31" s="780"/>
      <c r="GN31" s="780"/>
      <c r="GO31" s="780"/>
      <c r="GP31" s="755"/>
      <c r="GQ31" s="892"/>
      <c r="GR31" s="755"/>
      <c r="HD31" s="260"/>
      <c r="HG31" s="789"/>
      <c r="HH31" s="789"/>
      <c r="HI31" s="789"/>
      <c r="HJ31" s="789"/>
      <c r="HK31" s="789"/>
      <c r="HL31" s="260"/>
      <c r="HM31" s="260"/>
      <c r="HP31" s="898" t="s">
        <v>399</v>
      </c>
      <c r="HQ31" s="899"/>
      <c r="HR31" s="900"/>
      <c r="HS31" s="901">
        <v>3</v>
      </c>
      <c r="HT31" s="901"/>
      <c r="HU31" s="901">
        <v>11</v>
      </c>
      <c r="HV31" s="901"/>
      <c r="HW31" s="901"/>
      <c r="HX31" s="901">
        <v>6</v>
      </c>
      <c r="HY31" s="755"/>
      <c r="HZ31" s="858"/>
      <c r="IA31" s="755"/>
      <c r="IO31" s="755"/>
      <c r="IP31" s="755"/>
      <c r="JF31" s="898" t="s">
        <v>399</v>
      </c>
      <c r="JG31" s="899"/>
      <c r="JH31" s="900"/>
      <c r="JI31" s="901">
        <v>3</v>
      </c>
      <c r="JJ31" s="901"/>
      <c r="JK31" s="901">
        <v>5</v>
      </c>
      <c r="JL31" s="901"/>
      <c r="JM31" s="901"/>
      <c r="JN31" s="901">
        <v>6</v>
      </c>
    </row>
    <row r="32" spans="2:275" x14ac:dyDescent="0.3">
      <c r="G32" s="858"/>
      <c r="H32" s="755"/>
      <c r="S32" s="858"/>
      <c r="T32" s="755"/>
      <c r="W32" s="895" t="s">
        <v>396</v>
      </c>
      <c r="X32" s="897"/>
      <c r="Y32" s="897"/>
      <c r="AA32" s="858"/>
      <c r="AB32" s="755"/>
      <c r="AH32" s="858"/>
      <c r="AI32" s="755"/>
      <c r="AJ32" s="755"/>
      <c r="AK32" s="755"/>
      <c r="AL32" s="755"/>
      <c r="AP32" s="898" t="s">
        <v>400</v>
      </c>
      <c r="AQ32" s="895"/>
      <c r="AR32" s="898">
        <v>2</v>
      </c>
      <c r="AS32" s="898">
        <f>+AR32+1</f>
        <v>3</v>
      </c>
      <c r="AT32" s="898">
        <f t="shared" ref="AT32:AX32" si="124">+AS32+1</f>
        <v>4</v>
      </c>
      <c r="AU32" s="898">
        <f t="shared" si="124"/>
        <v>5</v>
      </c>
      <c r="AV32" s="898">
        <f t="shared" si="124"/>
        <v>6</v>
      </c>
      <c r="AW32" s="898">
        <f t="shared" si="124"/>
        <v>7</v>
      </c>
      <c r="AX32" s="898">
        <f t="shared" si="124"/>
        <v>8</v>
      </c>
      <c r="AY32" s="898"/>
      <c r="AZ32" s="898">
        <f>+AX32+1</f>
        <v>9</v>
      </c>
      <c r="BB32" s="858"/>
      <c r="BC32" s="755"/>
      <c r="BD32" s="755"/>
      <c r="BE32" s="755"/>
      <c r="BF32" s="755"/>
      <c r="BG32" s="755"/>
      <c r="BI32" s="858"/>
      <c r="BJ32" s="755"/>
      <c r="BU32" s="858"/>
      <c r="BV32" s="874"/>
      <c r="BW32" s="235"/>
      <c r="BX32" s="235"/>
      <c r="BY32" s="235"/>
      <c r="BZ32" s="235"/>
      <c r="CA32" s="235"/>
      <c r="CB32" s="235"/>
      <c r="CC32" s="235"/>
      <c r="CD32" s="235"/>
      <c r="CF32" s="858"/>
      <c r="CG32" s="755"/>
      <c r="CS32" s="858"/>
      <c r="CT32" s="755"/>
      <c r="DD32" s="235"/>
      <c r="DE32" s="858"/>
      <c r="DF32" s="755"/>
      <c r="DT32" s="858"/>
      <c r="DU32" s="755"/>
      <c r="DX32" s="914"/>
      <c r="DY32" s="914"/>
      <c r="DZ32" s="914"/>
      <c r="EA32" s="914"/>
      <c r="EC32" s="858"/>
      <c r="ED32" s="755"/>
      <c r="EK32" s="858"/>
      <c r="EL32" s="755"/>
      <c r="EM32" s="755"/>
      <c r="EN32" s="755"/>
      <c r="EO32" s="755"/>
      <c r="EP32" s="755"/>
      <c r="EQ32" s="755"/>
      <c r="ER32" s="755"/>
      <c r="ES32" s="755"/>
      <c r="ET32" s="755"/>
      <c r="EU32" s="893"/>
      <c r="EV32" s="755"/>
      <c r="EW32" s="755"/>
      <c r="EX32" s="755"/>
      <c r="EZ32" s="858"/>
      <c r="FA32" s="755"/>
      <c r="FF32" s="858"/>
      <c r="FG32" s="755"/>
      <c r="FH32" s="895"/>
      <c r="FI32" s="897"/>
      <c r="FJ32" s="897"/>
      <c r="FK32" s="897"/>
      <c r="FL32" s="897">
        <f>Y33+1</f>
        <v>4</v>
      </c>
      <c r="FM32" s="897">
        <f t="shared" ref="FM32" si="125">FL32+1</f>
        <v>5</v>
      </c>
      <c r="GF32" s="755"/>
      <c r="GG32" s="755"/>
      <c r="GH32" s="898" t="s">
        <v>396</v>
      </c>
      <c r="GI32" s="898">
        <v>10</v>
      </c>
      <c r="GJ32" s="898">
        <v>8</v>
      </c>
      <c r="GK32" s="898">
        <v>9</v>
      </c>
      <c r="GL32" s="898">
        <v>11</v>
      </c>
      <c r="GM32" s="898">
        <v>5</v>
      </c>
      <c r="GN32" s="898">
        <v>11</v>
      </c>
      <c r="GO32" s="898">
        <v>5</v>
      </c>
      <c r="GP32" s="898">
        <v>11</v>
      </c>
      <c r="GQ32" s="898">
        <v>3</v>
      </c>
      <c r="GR32" s="755"/>
      <c r="GZ32" s="902" t="s">
        <v>401</v>
      </c>
      <c r="HA32" s="330">
        <f>31.49*100</f>
        <v>3149</v>
      </c>
      <c r="HD32" s="818"/>
      <c r="HG32" s="818"/>
      <c r="HH32" s="818"/>
      <c r="HI32" s="818"/>
      <c r="HJ32" s="818"/>
      <c r="HK32" s="818"/>
      <c r="HL32" s="818"/>
      <c r="HM32" s="818"/>
      <c r="HZ32" s="858"/>
      <c r="IA32" s="755"/>
      <c r="IP32" s="755"/>
    </row>
    <row r="33" spans="7:250" x14ac:dyDescent="0.3">
      <c r="G33" s="858"/>
      <c r="H33" s="755"/>
      <c r="S33" s="858"/>
      <c r="T33" s="755"/>
      <c r="W33" s="895" t="s">
        <v>397</v>
      </c>
      <c r="X33" s="897">
        <v>2</v>
      </c>
      <c r="Y33" s="897">
        <f>X33+1</f>
        <v>3</v>
      </c>
      <c r="AA33" s="858"/>
      <c r="AB33" s="755"/>
      <c r="AH33" s="858"/>
      <c r="AI33" s="755"/>
      <c r="AJ33" s="755"/>
      <c r="AK33" s="755"/>
      <c r="AL33" s="755"/>
      <c r="BB33" s="858"/>
      <c r="BC33" s="755"/>
      <c r="BD33" s="755"/>
      <c r="BE33" s="755"/>
      <c r="BF33" s="755"/>
      <c r="BG33" s="755"/>
      <c r="BI33" s="858"/>
      <c r="BJ33" s="755"/>
      <c r="BU33" s="858"/>
      <c r="BV33" s="874"/>
      <c r="BW33" s="235"/>
      <c r="BX33" s="235"/>
      <c r="BY33" s="235"/>
      <c r="BZ33" s="235"/>
      <c r="CA33" s="235"/>
      <c r="CB33" s="235"/>
      <c r="CC33" s="235"/>
      <c r="CD33" s="235"/>
      <c r="CF33" s="858"/>
      <c r="CG33" s="755"/>
      <c r="CH33" s="898"/>
      <c r="CI33" s="913" t="s">
        <v>396</v>
      </c>
      <c r="CJ33" s="898"/>
      <c r="CK33" s="898">
        <v>4</v>
      </c>
      <c r="CL33" s="898"/>
      <c r="CM33" s="898">
        <v>7</v>
      </c>
      <c r="CN33" s="898"/>
      <c r="CO33" s="898"/>
      <c r="CP33" s="898"/>
      <c r="CQ33" s="898">
        <v>4</v>
      </c>
      <c r="CS33" s="858"/>
      <c r="CT33" s="755"/>
      <c r="DD33" s="235"/>
      <c r="DE33" s="858"/>
      <c r="DF33" s="755"/>
      <c r="DT33" s="858"/>
      <c r="DU33" s="755"/>
      <c r="EC33" s="858"/>
      <c r="ED33" s="755"/>
      <c r="EK33" s="858"/>
      <c r="EL33" s="755"/>
      <c r="EM33" s="755"/>
      <c r="EN33" s="755"/>
      <c r="EO33" s="755"/>
      <c r="EP33" s="755"/>
      <c r="EQ33" s="755"/>
      <c r="ER33" s="755"/>
      <c r="ES33" s="755"/>
      <c r="ET33" s="755"/>
      <c r="EU33" s="893"/>
      <c r="EV33" s="755"/>
      <c r="EW33" s="755"/>
      <c r="EX33" s="755"/>
      <c r="EZ33" s="858"/>
      <c r="FA33" s="755"/>
      <c r="FF33" s="858"/>
      <c r="FG33" s="755"/>
      <c r="GH33" s="898" t="s">
        <v>400</v>
      </c>
      <c r="GI33" s="898">
        <v>3</v>
      </c>
      <c r="GJ33" s="898">
        <f t="shared" ref="GJ33:GQ33" si="126">+GI33+1</f>
        <v>4</v>
      </c>
      <c r="GK33" s="898">
        <f t="shared" si="126"/>
        <v>5</v>
      </c>
      <c r="GL33" s="898">
        <f t="shared" si="126"/>
        <v>6</v>
      </c>
      <c r="GM33" s="898">
        <f t="shared" si="126"/>
        <v>7</v>
      </c>
      <c r="GN33" s="898">
        <f t="shared" si="126"/>
        <v>8</v>
      </c>
      <c r="GO33" s="898">
        <f t="shared" si="126"/>
        <v>9</v>
      </c>
      <c r="GP33" s="898">
        <f t="shared" si="126"/>
        <v>10</v>
      </c>
      <c r="GQ33" s="898">
        <f t="shared" si="126"/>
        <v>11</v>
      </c>
      <c r="GZ33" s="902" t="s">
        <v>402</v>
      </c>
      <c r="HA33" s="17">
        <v>22.96</v>
      </c>
      <c r="HZ33" s="858"/>
      <c r="IA33" s="755"/>
      <c r="IP33" s="755"/>
    </row>
    <row r="34" spans="7:250" x14ac:dyDescent="0.3">
      <c r="G34" s="858"/>
      <c r="H34" s="755"/>
      <c r="S34" s="858"/>
      <c r="T34" s="755"/>
      <c r="AA34" s="858"/>
      <c r="AB34" s="755"/>
      <c r="AH34" s="858"/>
      <c r="AI34" s="755"/>
      <c r="AJ34" s="755"/>
      <c r="AK34" s="755"/>
      <c r="AL34" s="755"/>
      <c r="BB34" s="858"/>
      <c r="BC34" s="755"/>
      <c r="BD34" s="755"/>
      <c r="BE34" s="755"/>
      <c r="BF34" s="755"/>
      <c r="BG34" s="755"/>
      <c r="BI34" s="858"/>
      <c r="BJ34" s="755"/>
      <c r="BM34" s="895" t="s">
        <v>396</v>
      </c>
      <c r="BN34" s="895">
        <v>9</v>
      </c>
      <c r="BO34" s="895"/>
      <c r="BP34" s="895">
        <v>4</v>
      </c>
      <c r="BQ34" s="895"/>
      <c r="BR34" s="895"/>
      <c r="BS34" s="895">
        <v>4</v>
      </c>
      <c r="BU34" s="858"/>
      <c r="BV34" s="874"/>
      <c r="BW34" s="235"/>
      <c r="BX34" s="235"/>
      <c r="BY34" s="235"/>
      <c r="BZ34" s="235"/>
      <c r="CA34" s="235"/>
      <c r="CB34" s="235"/>
      <c r="CC34" s="235"/>
      <c r="CD34" s="235"/>
      <c r="CF34" s="858"/>
      <c r="CG34" s="755"/>
      <c r="CS34" s="858"/>
      <c r="CT34" s="755"/>
      <c r="DD34" s="235"/>
      <c r="DE34" s="858"/>
      <c r="DF34" s="755"/>
      <c r="DI34" s="898" t="s">
        <v>396</v>
      </c>
      <c r="DJ34" s="898">
        <v>8</v>
      </c>
      <c r="DK34" s="898"/>
      <c r="DL34" s="898">
        <v>7</v>
      </c>
      <c r="DM34" s="898"/>
      <c r="DN34" s="898">
        <v>4</v>
      </c>
      <c r="DO34" s="898"/>
      <c r="DP34" s="898"/>
      <c r="DQ34" s="898"/>
      <c r="DR34" s="898">
        <v>4</v>
      </c>
      <c r="DT34" s="858"/>
      <c r="DU34" s="755"/>
      <c r="DX34" s="898" t="s">
        <v>396</v>
      </c>
      <c r="DY34" s="898">
        <v>7</v>
      </c>
      <c r="DZ34" s="898"/>
      <c r="EA34" s="898">
        <v>4</v>
      </c>
      <c r="EC34" s="858"/>
      <c r="ED34" s="755"/>
      <c r="EK34" s="858"/>
      <c r="EL34" s="755"/>
      <c r="EM34" s="895"/>
      <c r="EN34" s="895"/>
      <c r="EO34" s="895" t="s">
        <v>396</v>
      </c>
      <c r="EP34" s="897">
        <v>4</v>
      </c>
      <c r="EQ34" s="897"/>
      <c r="ER34" s="897">
        <v>8</v>
      </c>
      <c r="ES34" s="897"/>
      <c r="ET34" s="897">
        <v>4</v>
      </c>
      <c r="EU34" s="903"/>
      <c r="EV34" s="897"/>
      <c r="EW34" s="897"/>
      <c r="EX34" s="897">
        <v>4</v>
      </c>
      <c r="EZ34" s="858"/>
      <c r="FA34" s="755"/>
      <c r="FF34" s="858"/>
      <c r="FG34" s="755"/>
      <c r="FS34" s="898" t="s">
        <v>396</v>
      </c>
      <c r="FT34" s="898">
        <v>8</v>
      </c>
      <c r="FU34" s="898">
        <v>7</v>
      </c>
      <c r="FV34" s="898">
        <v>7</v>
      </c>
      <c r="FW34" s="898">
        <v>9</v>
      </c>
      <c r="FX34" s="898">
        <v>4</v>
      </c>
      <c r="FY34" s="898"/>
      <c r="FZ34" s="898">
        <v>4</v>
      </c>
      <c r="GA34" s="898"/>
      <c r="GB34" s="898">
        <v>4</v>
      </c>
      <c r="HZ34" s="858"/>
      <c r="IA34" s="755"/>
      <c r="IP34" s="755"/>
    </row>
    <row r="35" spans="7:250" x14ac:dyDescent="0.3">
      <c r="G35" s="858"/>
      <c r="H35" s="755"/>
      <c r="K35" s="898" t="s">
        <v>396</v>
      </c>
      <c r="L35" s="901">
        <v>3</v>
      </c>
      <c r="M35" s="901"/>
      <c r="N35" s="901"/>
      <c r="O35" s="901"/>
      <c r="P35" s="901"/>
      <c r="Q35" s="901">
        <v>4</v>
      </c>
      <c r="S35" s="858"/>
      <c r="T35" s="755"/>
      <c r="AA35" s="858"/>
      <c r="AB35" s="755"/>
      <c r="AH35" s="858"/>
      <c r="AI35" s="755"/>
      <c r="AJ35" s="755"/>
      <c r="AK35" s="755"/>
      <c r="AL35" s="755"/>
      <c r="BB35" s="858"/>
      <c r="BC35" s="755"/>
      <c r="BI35" s="858"/>
      <c r="BJ35" s="755"/>
      <c r="BM35" s="898" t="s">
        <v>400</v>
      </c>
      <c r="BN35" s="898"/>
      <c r="BO35" s="898"/>
      <c r="BP35" s="898"/>
      <c r="BQ35" s="898"/>
      <c r="BR35" s="895"/>
      <c r="BS35" s="895"/>
      <c r="BU35" s="858"/>
      <c r="BV35" s="874"/>
      <c r="BW35" s="235"/>
      <c r="BX35" s="235"/>
      <c r="BY35" s="235"/>
      <c r="BZ35" s="235"/>
      <c r="CA35" s="235"/>
      <c r="CB35" s="235"/>
      <c r="CC35" s="235"/>
      <c r="CD35" s="235"/>
      <c r="CF35" s="858"/>
      <c r="CG35" s="755"/>
      <c r="CS35" s="858"/>
      <c r="CT35" s="755"/>
      <c r="DD35" s="235"/>
      <c r="DE35" s="858"/>
      <c r="DT35" s="858"/>
      <c r="EC35" s="858"/>
      <c r="ED35" s="755"/>
      <c r="EK35" s="858"/>
      <c r="EL35" s="755"/>
      <c r="EZ35" s="858"/>
      <c r="FA35" s="755"/>
      <c r="FF35" s="858"/>
      <c r="FS35" s="898" t="s">
        <v>400</v>
      </c>
      <c r="FT35" s="898">
        <v>1</v>
      </c>
      <c r="FU35" s="898">
        <f t="shared" ref="FU35:GB35" si="127">+FT35+1</f>
        <v>2</v>
      </c>
      <c r="FV35" s="898">
        <f t="shared" si="127"/>
        <v>3</v>
      </c>
      <c r="FW35" s="898">
        <f t="shared" si="127"/>
        <v>4</v>
      </c>
      <c r="FX35" s="898">
        <f t="shared" si="127"/>
        <v>5</v>
      </c>
      <c r="FY35" s="898">
        <v>9</v>
      </c>
      <c r="FZ35" s="898">
        <f t="shared" si="127"/>
        <v>10</v>
      </c>
      <c r="GA35" s="898">
        <f t="shared" si="127"/>
        <v>11</v>
      </c>
      <c r="GB35" s="898">
        <f t="shared" si="127"/>
        <v>12</v>
      </c>
      <c r="GW35" s="899" t="s">
        <v>399</v>
      </c>
      <c r="GX35" s="901">
        <v>4</v>
      </c>
      <c r="GY35" s="901">
        <v>10</v>
      </c>
      <c r="GZ35" s="901">
        <v>11</v>
      </c>
      <c r="HA35" s="901"/>
      <c r="HB35" s="901"/>
      <c r="HC35" s="901"/>
      <c r="HD35" s="278"/>
      <c r="HG35" s="278"/>
      <c r="HH35" s="278"/>
      <c r="HI35" s="278"/>
      <c r="HJ35" s="278"/>
      <c r="HK35" s="278"/>
      <c r="HL35" s="278"/>
      <c r="HM35" s="278"/>
      <c r="HU35" s="680"/>
      <c r="HZ35" s="858"/>
      <c r="IA35" s="755"/>
      <c r="IP35" s="755"/>
    </row>
    <row r="36" spans="7:250" x14ac:dyDescent="0.3">
      <c r="L36" s="278"/>
      <c r="M36" s="278"/>
      <c r="N36" s="278"/>
      <c r="O36" s="278"/>
      <c r="P36" s="278"/>
      <c r="Q36" s="278"/>
      <c r="AA36" s="858"/>
      <c r="AB36" s="755"/>
      <c r="AM36" s="894"/>
      <c r="AN36" s="904"/>
      <c r="BV36" s="235"/>
      <c r="BW36" s="235"/>
      <c r="BX36" s="235"/>
      <c r="BY36" s="235"/>
      <c r="BZ36" s="235"/>
      <c r="CA36" s="235"/>
      <c r="CB36" s="235"/>
      <c r="CC36" s="235"/>
      <c r="CD36" s="235"/>
      <c r="CG36" s="755"/>
      <c r="DD36" s="235"/>
      <c r="GW36" s="898" t="s">
        <v>397</v>
      </c>
      <c r="GX36" s="901">
        <v>2</v>
      </c>
      <c r="GY36" s="901">
        <f>GX36+1</f>
        <v>3</v>
      </c>
      <c r="GZ36" s="901">
        <f t="shared" ref="GZ36:HC36" si="128">GY36+1</f>
        <v>4</v>
      </c>
      <c r="HA36" s="901">
        <f t="shared" si="128"/>
        <v>5</v>
      </c>
      <c r="HB36" s="901">
        <f t="shared" si="128"/>
        <v>6</v>
      </c>
      <c r="HC36" s="901">
        <f t="shared" si="128"/>
        <v>7</v>
      </c>
      <c r="HD36" s="278"/>
      <c r="HG36" s="278"/>
      <c r="HH36" s="278"/>
      <c r="HI36" s="278"/>
      <c r="HJ36" s="278"/>
      <c r="HK36" s="278"/>
      <c r="HL36" s="278"/>
      <c r="HM36" s="278"/>
      <c r="HU36" s="309"/>
      <c r="HZ36" s="858"/>
      <c r="IA36" s="755"/>
      <c r="IP36" s="755"/>
    </row>
    <row r="37" spans="7:250" x14ac:dyDescent="0.3">
      <c r="L37" s="278"/>
      <c r="M37" s="278"/>
      <c r="N37" s="278"/>
      <c r="O37" s="278"/>
      <c r="P37" s="278"/>
      <c r="Q37" s="278"/>
      <c r="BV37" s="235"/>
      <c r="BW37" s="235"/>
      <c r="BX37" s="235"/>
      <c r="BY37" s="235"/>
      <c r="BZ37" s="235"/>
      <c r="CA37" s="235"/>
      <c r="CB37" s="235"/>
      <c r="CC37" s="235"/>
      <c r="CD37" s="235"/>
      <c r="DD37" s="235"/>
    </row>
    <row r="38" spans="7:250" x14ac:dyDescent="0.3">
      <c r="BV38" s="235"/>
      <c r="BW38" s="235"/>
      <c r="BX38" s="235"/>
      <c r="BY38" s="235"/>
      <c r="BZ38" s="235"/>
      <c r="CA38" s="235"/>
      <c r="CB38" s="235"/>
      <c r="CC38" s="235"/>
      <c r="CD38" s="235"/>
      <c r="DD38" s="235"/>
    </row>
    <row r="39" spans="7:250" x14ac:dyDescent="0.3">
      <c r="BV39" s="235"/>
      <c r="BW39" s="235"/>
      <c r="BX39" s="235"/>
      <c r="BY39" s="235"/>
      <c r="BZ39" s="235"/>
      <c r="CA39" s="235"/>
      <c r="CB39" s="235"/>
      <c r="CC39" s="235"/>
      <c r="CD39" s="235"/>
      <c r="DD39" s="235"/>
    </row>
    <row r="40" spans="7:250" x14ac:dyDescent="0.3">
      <c r="BV40" s="235"/>
      <c r="BW40" s="235"/>
      <c r="BX40" s="235"/>
      <c r="BY40" s="235"/>
      <c r="BZ40" s="235"/>
      <c r="CA40" s="235"/>
      <c r="CB40" s="235"/>
      <c r="CC40" s="235"/>
      <c r="CD40" s="235"/>
      <c r="DD40" s="235"/>
    </row>
    <row r="41" spans="7:250" x14ac:dyDescent="0.3">
      <c r="BV41" s="235"/>
      <c r="BW41" s="235"/>
      <c r="BX41" s="235"/>
      <c r="BY41" s="235"/>
      <c r="BZ41" s="235"/>
      <c r="CA41" s="235"/>
      <c r="CB41" s="235"/>
      <c r="CC41" s="235"/>
      <c r="CD41" s="235"/>
      <c r="DD41" s="235"/>
    </row>
    <row r="42" spans="7:250" x14ac:dyDescent="0.3">
      <c r="BV42" s="235"/>
      <c r="BW42" s="235"/>
      <c r="BX42" s="235"/>
      <c r="BY42" s="235"/>
      <c r="BZ42" s="235"/>
      <c r="CA42" s="235"/>
      <c r="CB42" s="235"/>
      <c r="CC42" s="235"/>
      <c r="CD42" s="235"/>
      <c r="DD42" s="235"/>
    </row>
    <row r="43" spans="7:250" x14ac:dyDescent="0.3">
      <c r="BV43" s="235"/>
      <c r="BW43" s="235"/>
      <c r="BX43" s="235"/>
      <c r="BY43" s="235"/>
      <c r="BZ43" s="235"/>
      <c r="CA43" s="235"/>
      <c r="CB43" s="235"/>
      <c r="CC43" s="235"/>
      <c r="CD43" s="235"/>
      <c r="DD43" s="235"/>
    </row>
    <row r="44" spans="7:250" x14ac:dyDescent="0.3">
      <c r="BV44" s="235"/>
      <c r="BW44" s="235"/>
      <c r="BX44" s="235"/>
      <c r="BY44" s="235"/>
      <c r="BZ44" s="235"/>
      <c r="CA44" s="235"/>
      <c r="CB44" s="235"/>
      <c r="CC44" s="235"/>
      <c r="CD44" s="235"/>
      <c r="DD44" s="235"/>
    </row>
    <row r="45" spans="7:250" x14ac:dyDescent="0.3">
      <c r="BV45" s="235"/>
      <c r="BW45" s="235"/>
      <c r="BX45" s="235"/>
      <c r="BY45" s="235"/>
      <c r="BZ45" s="235"/>
      <c r="CA45" s="235"/>
      <c r="CB45" s="235"/>
      <c r="CC45" s="235"/>
      <c r="CD45" s="235"/>
      <c r="DD45" s="235"/>
    </row>
    <row r="46" spans="7:250" x14ac:dyDescent="0.3">
      <c r="BV46" s="235"/>
      <c r="BW46" s="235"/>
      <c r="BX46" s="235"/>
      <c r="BY46" s="235"/>
      <c r="BZ46" s="235"/>
      <c r="CA46" s="235"/>
      <c r="CB46" s="235"/>
      <c r="CC46" s="235"/>
      <c r="CD46" s="235"/>
      <c r="DD46" s="235"/>
    </row>
    <row r="47" spans="7:250" x14ac:dyDescent="0.3">
      <c r="BV47" s="235"/>
      <c r="BW47" s="235"/>
      <c r="BX47" s="235"/>
      <c r="BY47" s="235"/>
      <c r="BZ47" s="235"/>
      <c r="CA47" s="235"/>
      <c r="CB47" s="235"/>
      <c r="CC47" s="235"/>
      <c r="CD47" s="235"/>
      <c r="DD47" s="235"/>
    </row>
    <row r="48" spans="7:250" x14ac:dyDescent="0.3">
      <c r="BV48" s="235"/>
      <c r="BW48" s="235"/>
      <c r="BX48" s="235"/>
      <c r="BY48" s="235"/>
      <c r="BZ48" s="235"/>
      <c r="CA48" s="235"/>
      <c r="CB48" s="235"/>
      <c r="CC48" s="235"/>
      <c r="CD48" s="235"/>
      <c r="DD48" s="235"/>
    </row>
    <row r="49" spans="74:108" x14ac:dyDescent="0.3">
      <c r="BV49" s="235"/>
      <c r="BW49" s="235"/>
      <c r="BX49" s="235"/>
      <c r="BY49" s="235"/>
      <c r="BZ49" s="235"/>
      <c r="CA49" s="235"/>
      <c r="CB49" s="235"/>
      <c r="CC49" s="235"/>
      <c r="CD49" s="235"/>
      <c r="DD49" s="235"/>
    </row>
    <row r="50" spans="74:108" x14ac:dyDescent="0.3">
      <c r="BV50" s="235"/>
      <c r="BW50" s="235"/>
      <c r="BX50" s="235"/>
      <c r="BY50" s="235"/>
      <c r="BZ50" s="235"/>
      <c r="CA50" s="235"/>
      <c r="CB50" s="235"/>
      <c r="CC50" s="235"/>
      <c r="CD50" s="235"/>
      <c r="DD50" s="235"/>
    </row>
  </sheetData>
  <mergeCells count="26">
    <mergeCell ref="JF1:JN1"/>
    <mergeCell ref="DX31:EA32"/>
    <mergeCell ref="GF1:GQ1"/>
    <mergeCell ref="GU1:HC1"/>
    <mergeCell ref="HG1:HL1"/>
    <mergeCell ref="HP1:HX1"/>
    <mergeCell ref="IB1:IK1"/>
    <mergeCell ref="IO1:JB1"/>
    <mergeCell ref="DV1:EA1"/>
    <mergeCell ref="EE1:EI1"/>
    <mergeCell ref="EM1:EX1"/>
    <mergeCell ref="FB1:FD1"/>
    <mergeCell ref="FH1:FM1"/>
    <mergeCell ref="FQ1:GB1"/>
    <mergeCell ref="BD1:BG1"/>
    <mergeCell ref="BK1:BS1"/>
    <mergeCell ref="BW1:CD1"/>
    <mergeCell ref="CH1:CQ1"/>
    <mergeCell ref="CU1:DC1"/>
    <mergeCell ref="DG1:DR1"/>
    <mergeCell ref="A1:E1"/>
    <mergeCell ref="I1:Q1"/>
    <mergeCell ref="U1:Y1"/>
    <mergeCell ref="AC1:AF1"/>
    <mergeCell ref="AJ1:AL1"/>
    <mergeCell ref="AP1:AZ1"/>
  </mergeCells>
  <conditionalFormatting sqref="A4:E13">
    <cfRule type="expression" dxfId="5" priority="6">
      <formula>MOD(ROW(),2)=0</formula>
    </cfRule>
  </conditionalFormatting>
  <conditionalFormatting sqref="I4:Q29">
    <cfRule type="expression" dxfId="4" priority="5">
      <formula>MOD(ROW(),2)=0</formula>
    </cfRule>
  </conditionalFormatting>
  <conditionalFormatting sqref="BD3:BG6 AJ3:AL7 AC3:AF28 U3:Y29 AP3:AZ29 BK3:BS29">
    <cfRule type="expression" dxfId="3" priority="1">
      <formula>MOD(ROW(),2)=0</formula>
    </cfRule>
  </conditionalFormatting>
  <conditionalFormatting sqref="CU3:DC7 BW3:CD9 CH3:CQ29">
    <cfRule type="expression" dxfId="2" priority="2">
      <formula>MOD(ROW(),2)=0</formula>
    </cfRule>
  </conditionalFormatting>
  <conditionalFormatting sqref="FB3:FD6 EE3:EI7 DG3:DR29 DV3:EA29 EM3:EX29 FH3:FM29 FQ3:GB29">
    <cfRule type="expression" dxfId="1" priority="3">
      <formula>MOD(ROW(),2)=0</formula>
    </cfRule>
  </conditionalFormatting>
  <conditionalFormatting sqref="IB3:IK4 HG3:HL6 GF3:GQ29 GU3:HC29 IO3:JB29 HP3:HX29 JF3:JN29">
    <cfRule type="expression" dxfId="0" priority="4">
      <formula>MOD(ROW(),2)=0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Phase I Schedules</vt:lpstr>
      <vt:lpstr>Phase II Schedules</vt:lpstr>
      <vt:lpstr>hrspercont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2025-10-15T15:55:55Z</dcterms:created>
  <dcterms:modified xsi:type="dcterms:W3CDTF">2025-10-15T16:18:44Z</dcterms:modified>
</cp:coreProperties>
</file>