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np.ca\shares\AB\BCMB\DCA\2025 DCA\HCR 2025-26\5. Model\"/>
    </mc:Choice>
  </mc:AlternateContent>
  <xr:revisionPtr revIDLastSave="0" documentId="13_ncr:1_{AF2329DC-B5DF-447C-BB98-2C391320A216}" xr6:coauthVersionLast="47" xr6:coauthVersionMax="47" xr10:uidLastSave="{00000000-0000-0000-0000-000000000000}"/>
  <bookViews>
    <workbookView xWindow="-28920" yWindow="-120" windowWidth="29040" windowHeight="15720" xr2:uid="{74365864-8E14-4ACC-83C6-01D16AD800A7}"/>
  </bookViews>
  <sheets>
    <sheet name="Phase I Schedules" sheetId="1" r:id="rId1"/>
    <sheet name="Phase II Schedules" sheetId="2" r:id="rId2"/>
  </sheets>
  <definedNames>
    <definedName name="__">#REF!</definedName>
    <definedName name="_713_PropertyTax">#REF!</definedName>
    <definedName name="hrspercont">'Phase II Schedules'!$B$39:$D$42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K29" i="2" l="1"/>
  <c r="GY36" i="2" l="1"/>
  <c r="GZ36" i="2" s="1"/>
  <c r="HA36" i="2" s="1"/>
  <c r="HB36" i="2" s="1"/>
  <c r="HC36" i="2" s="1"/>
  <c r="FZ35" i="2"/>
  <c r="GA35" i="2" s="1"/>
  <c r="GB35" i="2" s="1"/>
  <c r="FU35" i="2"/>
  <c r="FV35" i="2" s="1"/>
  <c r="FW35" i="2" s="1"/>
  <c r="FX35" i="2" s="1"/>
  <c r="GJ33" i="2"/>
  <c r="GK33" i="2" s="1"/>
  <c r="GL33" i="2" s="1"/>
  <c r="GM33" i="2" s="1"/>
  <c r="GN33" i="2" s="1"/>
  <c r="GO33" i="2" s="1"/>
  <c r="GP33" i="2" s="1"/>
  <c r="GQ33" i="2" s="1"/>
  <c r="HA32" i="2"/>
  <c r="AS32" i="2"/>
  <c r="AT32" i="2" s="1"/>
  <c r="AU32" i="2" s="1"/>
  <c r="AV32" i="2" s="1"/>
  <c r="AW32" i="2" s="1"/>
  <c r="AX32" i="2" s="1"/>
  <c r="AZ32" i="2" s="1"/>
  <c r="Y36" i="2"/>
  <c r="FL32" i="2" s="1"/>
  <c r="FM32" i="2" s="1"/>
  <c r="JG28" i="2"/>
  <c r="HQ28" i="2"/>
  <c r="GV28" i="2"/>
  <c r="GG28" i="2"/>
  <c r="FI28" i="2"/>
  <c r="EN28" i="2"/>
  <c r="DH28" i="2"/>
  <c r="CI28" i="2"/>
  <c r="BL28" i="2"/>
  <c r="AQ28" i="2"/>
  <c r="AS28" i="2" s="1"/>
  <c r="V28" i="2"/>
  <c r="J28" i="2"/>
  <c r="JG27" i="2"/>
  <c r="HQ27" i="2"/>
  <c r="GV27" i="2"/>
  <c r="GG27" i="2"/>
  <c r="FI27" i="2"/>
  <c r="EN27" i="2"/>
  <c r="DW27" i="2"/>
  <c r="DH27" i="2"/>
  <c r="CI27" i="2"/>
  <c r="BL27" i="2"/>
  <c r="AQ27" i="2"/>
  <c r="AS27" i="2" s="1"/>
  <c r="AU27" i="2" s="1"/>
  <c r="V27" i="2"/>
  <c r="J27" i="2"/>
  <c r="JG26" i="2"/>
  <c r="IW26" i="2"/>
  <c r="HQ26" i="2"/>
  <c r="GV26" i="2"/>
  <c r="GG26" i="2"/>
  <c r="FI26" i="2"/>
  <c r="EN26" i="2"/>
  <c r="DW26" i="2"/>
  <c r="DH26" i="2"/>
  <c r="CI26" i="2"/>
  <c r="BL26" i="2"/>
  <c r="AQ26" i="2"/>
  <c r="V26" i="2"/>
  <c r="J26" i="2"/>
  <c r="JG25" i="2"/>
  <c r="HQ25" i="2"/>
  <c r="HA25" i="2"/>
  <c r="HT25" i="2" s="1"/>
  <c r="HV25" i="2" s="1"/>
  <c r="GV25" i="2"/>
  <c r="GG25" i="2"/>
  <c r="DW25" i="2" s="1"/>
  <c r="FI25" i="2"/>
  <c r="EN25" i="2"/>
  <c r="DH25" i="2"/>
  <c r="CI25" i="2"/>
  <c r="BL25" i="2"/>
  <c r="AQ25" i="2"/>
  <c r="AS25" i="2" s="1"/>
  <c r="V25" i="2"/>
  <c r="O25" i="2"/>
  <c r="J25" i="2"/>
  <c r="JG24" i="2"/>
  <c r="HQ24" i="2"/>
  <c r="GV24" i="2"/>
  <c r="GG24" i="2"/>
  <c r="DW24" i="2" s="1"/>
  <c r="FI24" i="2"/>
  <c r="EN24" i="2"/>
  <c r="DH24" i="2"/>
  <c r="CI24" i="2"/>
  <c r="BL24" i="2"/>
  <c r="AQ24" i="2"/>
  <c r="AS24" i="2" s="1"/>
  <c r="V24" i="2"/>
  <c r="J24" i="2"/>
  <c r="JG23" i="2"/>
  <c r="IW23" i="2"/>
  <c r="HQ23" i="2"/>
  <c r="GV23" i="2"/>
  <c r="GG23" i="2"/>
  <c r="FI23" i="2"/>
  <c r="EN23" i="2"/>
  <c r="DH23" i="2"/>
  <c r="CI23" i="2"/>
  <c r="BL23" i="2"/>
  <c r="AQ23" i="2"/>
  <c r="AS23" i="2" s="1"/>
  <c r="V23" i="2"/>
  <c r="J23" i="2"/>
  <c r="JG22" i="2"/>
  <c r="HQ22" i="2"/>
  <c r="GV22" i="2"/>
  <c r="GG22" i="2"/>
  <c r="FI22" i="2"/>
  <c r="EN22" i="2"/>
  <c r="DH22" i="2"/>
  <c r="CI22" i="2"/>
  <c r="BL22" i="2"/>
  <c r="AQ22" i="2"/>
  <c r="V22" i="2"/>
  <c r="J22" i="2"/>
  <c r="O22" i="2" s="1"/>
  <c r="JG21" i="2"/>
  <c r="HQ21" i="2"/>
  <c r="GV21" i="2"/>
  <c r="GG21" i="2"/>
  <c r="DW21" i="2" s="1"/>
  <c r="FI21" i="2"/>
  <c r="EN21" i="2"/>
  <c r="DH21" i="2"/>
  <c r="CI21" i="2"/>
  <c r="BL21" i="2"/>
  <c r="AQ21" i="2"/>
  <c r="AS21" i="2" s="1"/>
  <c r="V21" i="2"/>
  <c r="J21" i="2"/>
  <c r="JG20" i="2"/>
  <c r="HQ20" i="2"/>
  <c r="GV20" i="2"/>
  <c r="GG20" i="2"/>
  <c r="DW20" i="2" s="1"/>
  <c r="FI20" i="2"/>
  <c r="EN20" i="2"/>
  <c r="DH20" i="2"/>
  <c r="CI20" i="2"/>
  <c r="BL20" i="2"/>
  <c r="AQ20" i="2"/>
  <c r="V20" i="2"/>
  <c r="J20" i="2"/>
  <c r="JG19" i="2"/>
  <c r="HQ19" i="2"/>
  <c r="GV19" i="2"/>
  <c r="GG19" i="2"/>
  <c r="FI19" i="2"/>
  <c r="EN19" i="2"/>
  <c r="DH19" i="2"/>
  <c r="CI19" i="2"/>
  <c r="BL19" i="2"/>
  <c r="AQ19" i="2"/>
  <c r="AS19" i="2" s="1"/>
  <c r="V19" i="2"/>
  <c r="J19" i="2"/>
  <c r="JG18" i="2"/>
  <c r="HQ18" i="2"/>
  <c r="GV18" i="2"/>
  <c r="GG18" i="2"/>
  <c r="FI18" i="2"/>
  <c r="EN18" i="2"/>
  <c r="DH18" i="2"/>
  <c r="CI18" i="2"/>
  <c r="BL18" i="2"/>
  <c r="AQ18" i="2"/>
  <c r="AS18" i="2" s="1"/>
  <c r="AU18" i="2" s="1"/>
  <c r="V18" i="2"/>
  <c r="J18" i="2"/>
  <c r="JG17" i="2"/>
  <c r="IW17" i="2"/>
  <c r="HQ17" i="2"/>
  <c r="GV17" i="2"/>
  <c r="GG17" i="2"/>
  <c r="FI17" i="2"/>
  <c r="EN17" i="2"/>
  <c r="DW17" i="2"/>
  <c r="DH17" i="2"/>
  <c r="CI17" i="2"/>
  <c r="BL17" i="2"/>
  <c r="AQ17" i="2"/>
  <c r="AS17" i="2" s="1"/>
  <c r="V17" i="2"/>
  <c r="J17" i="2"/>
  <c r="JG16" i="2"/>
  <c r="IW16" i="2"/>
  <c r="HQ16" i="2"/>
  <c r="GV16" i="2"/>
  <c r="GG16" i="2"/>
  <c r="FI16" i="2"/>
  <c r="EN16" i="2"/>
  <c r="DH16" i="2"/>
  <c r="CI16" i="2"/>
  <c r="BL16" i="2"/>
  <c r="AQ16" i="2"/>
  <c r="AS16" i="2" s="1"/>
  <c r="V16" i="2"/>
  <c r="J16" i="2"/>
  <c r="JG15" i="2"/>
  <c r="HQ15" i="2"/>
  <c r="GV15" i="2"/>
  <c r="GG15" i="2"/>
  <c r="FI15" i="2"/>
  <c r="EN15" i="2"/>
  <c r="DH15" i="2"/>
  <c r="CI15" i="2"/>
  <c r="BL15" i="2"/>
  <c r="AQ15" i="2"/>
  <c r="AS15" i="2" s="1"/>
  <c r="AU15" i="2" s="1"/>
  <c r="V15" i="2"/>
  <c r="J15" i="2"/>
  <c r="JG14" i="2"/>
  <c r="IW14" i="2"/>
  <c r="HQ14" i="2"/>
  <c r="GV14" i="2"/>
  <c r="GG14" i="2"/>
  <c r="DW14" i="2" s="1"/>
  <c r="FI14" i="2"/>
  <c r="EN14" i="2"/>
  <c r="DH14" i="2"/>
  <c r="CI14" i="2"/>
  <c r="BL14" i="2"/>
  <c r="AQ14" i="2"/>
  <c r="V14" i="2"/>
  <c r="J14" i="2"/>
  <c r="JG13" i="2"/>
  <c r="HQ13" i="2"/>
  <c r="GV13" i="2"/>
  <c r="GG13" i="2"/>
  <c r="FI13" i="2"/>
  <c r="EN13" i="2"/>
  <c r="DH13" i="2"/>
  <c r="CI13" i="2"/>
  <c r="BL13" i="2"/>
  <c r="AQ13" i="2"/>
  <c r="V13" i="2"/>
  <c r="J13" i="2"/>
  <c r="JG12" i="2"/>
  <c r="HQ12" i="2"/>
  <c r="GV12" i="2"/>
  <c r="GG12" i="2"/>
  <c r="FI12" i="2"/>
  <c r="EN12" i="2"/>
  <c r="DH12" i="2"/>
  <c r="CI12" i="2"/>
  <c r="BL12" i="2"/>
  <c r="AQ12" i="2"/>
  <c r="AS12" i="2" s="1"/>
  <c r="AU12" i="2" s="1"/>
  <c r="V12" i="2"/>
  <c r="J12" i="2"/>
  <c r="JG11" i="2"/>
  <c r="HQ11" i="2"/>
  <c r="GV11" i="2"/>
  <c r="GG11" i="2"/>
  <c r="FI11" i="2"/>
  <c r="EN11" i="2"/>
  <c r="DH11" i="2"/>
  <c r="CI11" i="2"/>
  <c r="BL11" i="2"/>
  <c r="AQ11" i="2"/>
  <c r="V11" i="2"/>
  <c r="O11" i="2"/>
  <c r="J11" i="2"/>
  <c r="JG10" i="2"/>
  <c r="HQ10" i="2"/>
  <c r="GV10" i="2"/>
  <c r="GG10" i="2"/>
  <c r="DW10" i="2" s="1"/>
  <c r="FI10" i="2"/>
  <c r="EN10" i="2"/>
  <c r="DH10" i="2"/>
  <c r="CI10" i="2"/>
  <c r="BL10" i="2"/>
  <c r="AQ10" i="2"/>
  <c r="AS10" i="2" s="1"/>
  <c r="V10" i="2"/>
  <c r="J10" i="2"/>
  <c r="JG9" i="2"/>
  <c r="HQ9" i="2"/>
  <c r="GV9" i="2"/>
  <c r="GG9" i="2"/>
  <c r="DW9" i="2" s="1"/>
  <c r="FI9" i="2"/>
  <c r="EN9" i="2"/>
  <c r="DH9" i="2"/>
  <c r="CI9" i="2"/>
  <c r="BL9" i="2"/>
  <c r="AQ9" i="2"/>
  <c r="V9" i="2"/>
  <c r="J9" i="2"/>
  <c r="JG8" i="2"/>
  <c r="HQ8" i="2"/>
  <c r="GV8" i="2"/>
  <c r="GG8" i="2"/>
  <c r="DW8" i="2" s="1"/>
  <c r="FI8" i="2"/>
  <c r="EN8" i="2"/>
  <c r="DH8" i="2"/>
  <c r="CI8" i="2"/>
  <c r="BL8" i="2"/>
  <c r="AQ8" i="2"/>
  <c r="AS8" i="2" s="1"/>
  <c r="V8" i="2"/>
  <c r="J8" i="2"/>
  <c r="JG7" i="2"/>
  <c r="HQ7" i="2"/>
  <c r="GV7" i="2"/>
  <c r="GG7" i="2"/>
  <c r="FI7" i="2"/>
  <c r="EN7" i="2"/>
  <c r="DH7" i="2"/>
  <c r="CI7" i="2"/>
  <c r="BL7" i="2"/>
  <c r="AQ7" i="2"/>
  <c r="AS7" i="2" s="1"/>
  <c r="AU7" i="2" s="1"/>
  <c r="V7" i="2"/>
  <c r="J7" i="2"/>
  <c r="JG6" i="2"/>
  <c r="HQ6" i="2"/>
  <c r="GV6" i="2"/>
  <c r="GG6" i="2"/>
  <c r="FI6" i="2"/>
  <c r="EN6" i="2"/>
  <c r="DV6" i="2"/>
  <c r="DV7" i="2" s="1"/>
  <c r="DV8" i="2" s="1"/>
  <c r="DV9" i="2" s="1"/>
  <c r="DV10" i="2" s="1"/>
  <c r="DV11" i="2" s="1"/>
  <c r="DV12" i="2" s="1"/>
  <c r="DV13" i="2" s="1"/>
  <c r="DV14" i="2" s="1"/>
  <c r="DV15" i="2" s="1"/>
  <c r="DV16" i="2" s="1"/>
  <c r="DV17" i="2" s="1"/>
  <c r="DV18" i="2" s="1"/>
  <c r="DV19" i="2" s="1"/>
  <c r="DV20" i="2" s="1"/>
  <c r="DV21" i="2" s="1"/>
  <c r="DV22" i="2" s="1"/>
  <c r="DV23" i="2" s="1"/>
  <c r="DV24" i="2" s="1"/>
  <c r="DV25" i="2" s="1"/>
  <c r="DV26" i="2" s="1"/>
  <c r="DV27" i="2" s="1"/>
  <c r="DV28" i="2" s="1"/>
  <c r="DV29" i="2" s="1"/>
  <c r="DH6" i="2"/>
  <c r="CI6" i="2"/>
  <c r="BL6" i="2"/>
  <c r="BF6" i="2"/>
  <c r="AQ6" i="2"/>
  <c r="AS6" i="2" s="1"/>
  <c r="V6" i="2"/>
  <c r="J6" i="2"/>
  <c r="JG5" i="2"/>
  <c r="JF5" i="2"/>
  <c r="JF6" i="2" s="1"/>
  <c r="JF7" i="2" s="1"/>
  <c r="JF8" i="2" s="1"/>
  <c r="JF9" i="2" s="1"/>
  <c r="JF10" i="2" s="1"/>
  <c r="JF11" i="2" s="1"/>
  <c r="JF12" i="2" s="1"/>
  <c r="JF13" i="2" s="1"/>
  <c r="JF14" i="2" s="1"/>
  <c r="JF15" i="2" s="1"/>
  <c r="JF16" i="2" s="1"/>
  <c r="JF17" i="2" s="1"/>
  <c r="JF18" i="2" s="1"/>
  <c r="JF19" i="2" s="1"/>
  <c r="JF20" i="2" s="1"/>
  <c r="JF21" i="2" s="1"/>
  <c r="JF22" i="2" s="1"/>
  <c r="JF23" i="2" s="1"/>
  <c r="JF24" i="2" s="1"/>
  <c r="JF25" i="2" s="1"/>
  <c r="JF26" i="2" s="1"/>
  <c r="JF27" i="2" s="1"/>
  <c r="JF28" i="2" s="1"/>
  <c r="JF29" i="2" s="1"/>
  <c r="IO5" i="2"/>
  <c r="IO6" i="2" s="1"/>
  <c r="IO7" i="2" s="1"/>
  <c r="IO8" i="2" s="1"/>
  <c r="IO9" i="2" s="1"/>
  <c r="IO10" i="2" s="1"/>
  <c r="IO11" i="2" s="1"/>
  <c r="IO12" i="2" s="1"/>
  <c r="IO13" i="2" s="1"/>
  <c r="IO14" i="2" s="1"/>
  <c r="IO15" i="2" s="1"/>
  <c r="IO16" i="2" s="1"/>
  <c r="IO17" i="2" s="1"/>
  <c r="IO18" i="2" s="1"/>
  <c r="IO19" i="2" s="1"/>
  <c r="IO20" i="2" s="1"/>
  <c r="IO21" i="2" s="1"/>
  <c r="IO22" i="2" s="1"/>
  <c r="IO23" i="2" s="1"/>
  <c r="IO24" i="2" s="1"/>
  <c r="IO25" i="2" s="1"/>
  <c r="IO26" i="2" s="1"/>
  <c r="IO27" i="2" s="1"/>
  <c r="IO28" i="2" s="1"/>
  <c r="IO29" i="2" s="1"/>
  <c r="HQ5" i="2"/>
  <c r="HP5" i="2"/>
  <c r="HP6" i="2" s="1"/>
  <c r="HP7" i="2" s="1"/>
  <c r="HP8" i="2" s="1"/>
  <c r="HP9" i="2" s="1"/>
  <c r="HP10" i="2" s="1"/>
  <c r="HP11" i="2" s="1"/>
  <c r="HP12" i="2" s="1"/>
  <c r="HP13" i="2" s="1"/>
  <c r="HP14" i="2" s="1"/>
  <c r="HP15" i="2" s="1"/>
  <c r="HP16" i="2" s="1"/>
  <c r="HP17" i="2" s="1"/>
  <c r="HP18" i="2" s="1"/>
  <c r="HP19" i="2" s="1"/>
  <c r="HP20" i="2" s="1"/>
  <c r="HP21" i="2" s="1"/>
  <c r="HP22" i="2" s="1"/>
  <c r="HP23" i="2" s="1"/>
  <c r="HP24" i="2" s="1"/>
  <c r="HP25" i="2" s="1"/>
  <c r="HP26" i="2" s="1"/>
  <c r="HP27" i="2" s="1"/>
  <c r="HP28" i="2" s="1"/>
  <c r="HP29" i="2" s="1"/>
  <c r="GV5" i="2"/>
  <c r="GU5" i="2"/>
  <c r="GU6" i="2" s="1"/>
  <c r="GU7" i="2" s="1"/>
  <c r="GU8" i="2" s="1"/>
  <c r="GU9" i="2" s="1"/>
  <c r="GU10" i="2" s="1"/>
  <c r="GU11" i="2" s="1"/>
  <c r="GU12" i="2" s="1"/>
  <c r="GU13" i="2" s="1"/>
  <c r="GU14" i="2" s="1"/>
  <c r="GU15" i="2" s="1"/>
  <c r="GU16" i="2" s="1"/>
  <c r="GU17" i="2" s="1"/>
  <c r="GU18" i="2" s="1"/>
  <c r="GU19" i="2" s="1"/>
  <c r="GU20" i="2" s="1"/>
  <c r="GU21" i="2" s="1"/>
  <c r="GU22" i="2" s="1"/>
  <c r="GU23" i="2" s="1"/>
  <c r="GU24" i="2" s="1"/>
  <c r="GU25" i="2" s="1"/>
  <c r="GU26" i="2" s="1"/>
  <c r="GU27" i="2" s="1"/>
  <c r="GU28" i="2" s="1"/>
  <c r="GU29" i="2" s="1"/>
  <c r="GG5" i="2"/>
  <c r="DW5" i="2" s="1"/>
  <c r="GF5" i="2"/>
  <c r="GF6" i="2" s="1"/>
  <c r="GF7" i="2" s="1"/>
  <c r="GF8" i="2" s="1"/>
  <c r="GF9" i="2" s="1"/>
  <c r="GF10" i="2" s="1"/>
  <c r="GF11" i="2" s="1"/>
  <c r="GF12" i="2" s="1"/>
  <c r="GF13" i="2" s="1"/>
  <c r="GF14" i="2" s="1"/>
  <c r="GF15" i="2" s="1"/>
  <c r="GF16" i="2" s="1"/>
  <c r="GF17" i="2" s="1"/>
  <c r="GF18" i="2" s="1"/>
  <c r="GF19" i="2" s="1"/>
  <c r="GF20" i="2" s="1"/>
  <c r="GF21" i="2" s="1"/>
  <c r="GF22" i="2" s="1"/>
  <c r="GF23" i="2" s="1"/>
  <c r="GF24" i="2" s="1"/>
  <c r="GF25" i="2" s="1"/>
  <c r="GF26" i="2" s="1"/>
  <c r="GF27" i="2" s="1"/>
  <c r="GF28" i="2" s="1"/>
  <c r="GF29" i="2" s="1"/>
  <c r="FQ5" i="2"/>
  <c r="FQ6" i="2" s="1"/>
  <c r="FQ7" i="2" s="1"/>
  <c r="FQ8" i="2" s="1"/>
  <c r="FQ9" i="2" s="1"/>
  <c r="FQ10" i="2" s="1"/>
  <c r="FQ11" i="2" s="1"/>
  <c r="FQ12" i="2" s="1"/>
  <c r="FQ13" i="2" s="1"/>
  <c r="FQ14" i="2" s="1"/>
  <c r="FQ15" i="2" s="1"/>
  <c r="FQ16" i="2" s="1"/>
  <c r="FQ17" i="2" s="1"/>
  <c r="FQ18" i="2" s="1"/>
  <c r="FQ19" i="2" s="1"/>
  <c r="FQ20" i="2" s="1"/>
  <c r="FQ21" i="2" s="1"/>
  <c r="FQ22" i="2" s="1"/>
  <c r="FQ23" i="2" s="1"/>
  <c r="FQ24" i="2" s="1"/>
  <c r="FQ25" i="2" s="1"/>
  <c r="FQ26" i="2" s="1"/>
  <c r="FQ27" i="2" s="1"/>
  <c r="FQ28" i="2" s="1"/>
  <c r="FQ29" i="2" s="1"/>
  <c r="FI5" i="2"/>
  <c r="FH5" i="2"/>
  <c r="FH6" i="2" s="1"/>
  <c r="FH7" i="2" s="1"/>
  <c r="FH8" i="2" s="1"/>
  <c r="FH9" i="2" s="1"/>
  <c r="FH10" i="2" s="1"/>
  <c r="FH11" i="2" s="1"/>
  <c r="FH12" i="2" s="1"/>
  <c r="FH13" i="2" s="1"/>
  <c r="FH14" i="2" s="1"/>
  <c r="FH15" i="2" s="1"/>
  <c r="FH16" i="2" s="1"/>
  <c r="FH17" i="2" s="1"/>
  <c r="FH18" i="2" s="1"/>
  <c r="FH19" i="2" s="1"/>
  <c r="FH20" i="2" s="1"/>
  <c r="FH21" i="2" s="1"/>
  <c r="FH22" i="2" s="1"/>
  <c r="FH23" i="2" s="1"/>
  <c r="FH24" i="2" s="1"/>
  <c r="FH25" i="2" s="1"/>
  <c r="FH26" i="2" s="1"/>
  <c r="FH27" i="2" s="1"/>
  <c r="FH28" i="2" s="1"/>
  <c r="FH29" i="2" s="1"/>
  <c r="EN5" i="2"/>
  <c r="EM5" i="2"/>
  <c r="EM6" i="2" s="1"/>
  <c r="EM7" i="2" s="1"/>
  <c r="EM8" i="2" s="1"/>
  <c r="EM9" i="2" s="1"/>
  <c r="EM10" i="2" s="1"/>
  <c r="EM11" i="2" s="1"/>
  <c r="EM12" i="2" s="1"/>
  <c r="EM13" i="2" s="1"/>
  <c r="EM14" i="2" s="1"/>
  <c r="EM15" i="2" s="1"/>
  <c r="EM16" i="2" s="1"/>
  <c r="EM17" i="2" s="1"/>
  <c r="EM18" i="2" s="1"/>
  <c r="EM19" i="2" s="1"/>
  <c r="EM20" i="2" s="1"/>
  <c r="EM21" i="2" s="1"/>
  <c r="EM22" i="2" s="1"/>
  <c r="EM23" i="2" s="1"/>
  <c r="EM24" i="2" s="1"/>
  <c r="EM25" i="2" s="1"/>
  <c r="EM26" i="2" s="1"/>
  <c r="EM27" i="2" s="1"/>
  <c r="EM28" i="2" s="1"/>
  <c r="EM29" i="2" s="1"/>
  <c r="DV5" i="2"/>
  <c r="DH5" i="2"/>
  <c r="DG5" i="2"/>
  <c r="DG6" i="2" s="1"/>
  <c r="DG7" i="2" s="1"/>
  <c r="DG8" i="2" s="1"/>
  <c r="DG9" i="2" s="1"/>
  <c r="DG10" i="2" s="1"/>
  <c r="DG11" i="2" s="1"/>
  <c r="DG12" i="2" s="1"/>
  <c r="DG13" i="2" s="1"/>
  <c r="DG14" i="2" s="1"/>
  <c r="DG15" i="2" s="1"/>
  <c r="DG16" i="2" s="1"/>
  <c r="DG17" i="2" s="1"/>
  <c r="DG18" i="2" s="1"/>
  <c r="DG19" i="2" s="1"/>
  <c r="DG20" i="2" s="1"/>
  <c r="DG21" i="2" s="1"/>
  <c r="DG22" i="2" s="1"/>
  <c r="DG23" i="2" s="1"/>
  <c r="DG24" i="2" s="1"/>
  <c r="DG25" i="2" s="1"/>
  <c r="DG26" i="2" s="1"/>
  <c r="DG27" i="2" s="1"/>
  <c r="DG28" i="2" s="1"/>
  <c r="DG29" i="2" s="1"/>
  <c r="CU5" i="2"/>
  <c r="CI5" i="2"/>
  <c r="CH5" i="2"/>
  <c r="CH6" i="2" s="1"/>
  <c r="CH7" i="2" s="1"/>
  <c r="CH8" i="2" s="1"/>
  <c r="CH9" i="2" s="1"/>
  <c r="CH10" i="2" s="1"/>
  <c r="CH11" i="2" s="1"/>
  <c r="CH12" i="2" s="1"/>
  <c r="CH13" i="2" s="1"/>
  <c r="CH14" i="2" s="1"/>
  <c r="CH15" i="2" s="1"/>
  <c r="CH16" i="2" s="1"/>
  <c r="CH17" i="2" s="1"/>
  <c r="CH18" i="2" s="1"/>
  <c r="CH19" i="2" s="1"/>
  <c r="CH20" i="2" s="1"/>
  <c r="CH21" i="2" s="1"/>
  <c r="CH22" i="2" s="1"/>
  <c r="CH23" i="2" s="1"/>
  <c r="CH24" i="2" s="1"/>
  <c r="CH25" i="2" s="1"/>
  <c r="CH26" i="2" s="1"/>
  <c r="CH27" i="2" s="1"/>
  <c r="CH28" i="2" s="1"/>
  <c r="CH29" i="2" s="1"/>
  <c r="BW5" i="2"/>
  <c r="BW6" i="2" s="1"/>
  <c r="BW7" i="2" s="1"/>
  <c r="BW8" i="2" s="1"/>
  <c r="BL5" i="2"/>
  <c r="BK5" i="2"/>
  <c r="BK6" i="2" s="1"/>
  <c r="BK7" i="2" s="1"/>
  <c r="BK8" i="2" s="1"/>
  <c r="BK9" i="2" s="1"/>
  <c r="BK10" i="2" s="1"/>
  <c r="BK11" i="2" s="1"/>
  <c r="BK12" i="2" s="1"/>
  <c r="BK13" i="2" s="1"/>
  <c r="BK14" i="2" s="1"/>
  <c r="BK15" i="2" s="1"/>
  <c r="BK16" i="2" s="1"/>
  <c r="BK17" i="2" s="1"/>
  <c r="BK18" i="2" s="1"/>
  <c r="BK19" i="2" s="1"/>
  <c r="BK20" i="2" s="1"/>
  <c r="BK21" i="2" s="1"/>
  <c r="BK22" i="2" s="1"/>
  <c r="BK23" i="2" s="1"/>
  <c r="BK24" i="2" s="1"/>
  <c r="BK25" i="2" s="1"/>
  <c r="BK26" i="2" s="1"/>
  <c r="BK27" i="2" s="1"/>
  <c r="BK28" i="2" s="1"/>
  <c r="BK29" i="2" s="1"/>
  <c r="AQ5" i="2"/>
  <c r="AS5" i="2" s="1"/>
  <c r="AP5" i="2"/>
  <c r="AP6" i="2" s="1"/>
  <c r="AP7" i="2" s="1"/>
  <c r="AP8" i="2" s="1"/>
  <c r="AP9" i="2" s="1"/>
  <c r="AP10" i="2" s="1"/>
  <c r="AP11" i="2" s="1"/>
  <c r="AP12" i="2" s="1"/>
  <c r="AP13" i="2" s="1"/>
  <c r="AP14" i="2" s="1"/>
  <c r="AP15" i="2" s="1"/>
  <c r="AP16" i="2" s="1"/>
  <c r="AP17" i="2" s="1"/>
  <c r="AP18" i="2" s="1"/>
  <c r="AP19" i="2" s="1"/>
  <c r="AP20" i="2" s="1"/>
  <c r="AP21" i="2" s="1"/>
  <c r="AP22" i="2" s="1"/>
  <c r="AP23" i="2" s="1"/>
  <c r="AP24" i="2" s="1"/>
  <c r="AP25" i="2" s="1"/>
  <c r="AP26" i="2" s="1"/>
  <c r="AP27" i="2" s="1"/>
  <c r="AP28" i="2" s="1"/>
  <c r="AP29" i="2" s="1"/>
  <c r="AJ5" i="2"/>
  <c r="AJ6" i="2" s="1"/>
  <c r="AJ7" i="2" s="1"/>
  <c r="AC5" i="2"/>
  <c r="AC6" i="2" s="1"/>
  <c r="AC7" i="2" s="1"/>
  <c r="AC8" i="2" s="1"/>
  <c r="AC9" i="2" s="1"/>
  <c r="AC10" i="2" s="1"/>
  <c r="AC11" i="2" s="1"/>
  <c r="AC12" i="2" s="1"/>
  <c r="AC13" i="2" s="1"/>
  <c r="AC14" i="2" s="1"/>
  <c r="AC15" i="2" s="1"/>
  <c r="AC16" i="2" s="1"/>
  <c r="AC17" i="2" s="1"/>
  <c r="AC18" i="2" s="1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V5" i="2"/>
  <c r="U5" i="2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J5" i="2"/>
  <c r="I5" i="2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JG4" i="2"/>
  <c r="IC4" i="2"/>
  <c r="IJ4" i="2" s="1"/>
  <c r="HQ4" i="2"/>
  <c r="GV4" i="2"/>
  <c r="GG4" i="2"/>
  <c r="FI4" i="2"/>
  <c r="EN4" i="2"/>
  <c r="EG7" i="2"/>
  <c r="EH7" i="2" s="1"/>
  <c r="DW4" i="2"/>
  <c r="DH4" i="2"/>
  <c r="CI4" i="2"/>
  <c r="BL4" i="2"/>
  <c r="BE4" i="2"/>
  <c r="BN2" i="2" s="1"/>
  <c r="AS4" i="2"/>
  <c r="AQ4" i="2"/>
  <c r="V4" i="2"/>
  <c r="J4" i="2"/>
  <c r="JH2" i="2"/>
  <c r="HR2" i="2"/>
  <c r="FK2" i="2"/>
  <c r="DB2" i="2"/>
  <c r="DA2" i="2"/>
  <c r="CZ2" i="2"/>
  <c r="BP2" i="2"/>
  <c r="FT37" i="1"/>
  <c r="FW36" i="1"/>
  <c r="FU37" i="1"/>
  <c r="MS35" i="1"/>
  <c r="FW35" i="1"/>
  <c r="MS34" i="1"/>
  <c r="MJ34" i="1"/>
  <c r="MN34" i="1" s="1"/>
  <c r="FV37" i="1"/>
  <c r="FW34" i="1"/>
  <c r="MS32" i="1"/>
  <c r="MS31" i="1"/>
  <c r="FW31" i="1"/>
  <c r="FW30" i="1"/>
  <c r="ML29" i="1"/>
  <c r="FW29" i="1"/>
  <c r="FU32" i="1"/>
  <c r="FW28" i="1"/>
  <c r="MV27" i="1"/>
  <c r="MW27" i="1" s="1"/>
  <c r="MM27" i="1"/>
  <c r="MN27" i="1" s="1"/>
  <c r="FV32" i="1"/>
  <c r="FT32" i="1"/>
  <c r="MU26" i="1"/>
  <c r="MV26" i="1" s="1"/>
  <c r="MW26" i="1" s="1"/>
  <c r="MN26" i="1"/>
  <c r="MM26" i="1"/>
  <c r="KI26" i="1"/>
  <c r="JZ26" i="1"/>
  <c r="MS25" i="1"/>
  <c r="KH25" i="1"/>
  <c r="JZ25" i="1"/>
  <c r="IF25" i="1"/>
  <c r="LP25" i="1" s="1"/>
  <c r="KF25" i="1"/>
  <c r="KD25" i="1"/>
  <c r="HN25" i="1"/>
  <c r="MS24" i="1"/>
  <c r="KH24" i="1"/>
  <c r="KF24" i="1"/>
  <c r="IF24" i="1"/>
  <c r="LP24" i="1" s="1"/>
  <c r="KD24" i="1"/>
  <c r="JO24" i="1"/>
  <c r="HN24" i="1"/>
  <c r="IN24" i="1" s="1"/>
  <c r="JD24" i="1" s="1"/>
  <c r="HM24" i="1"/>
  <c r="IM24" i="1" s="1"/>
  <c r="IT24" i="1" s="1"/>
  <c r="FW24" i="1"/>
  <c r="N24" i="1"/>
  <c r="MS23" i="1"/>
  <c r="KH23" i="1"/>
  <c r="KF23" i="1"/>
  <c r="JO23" i="1"/>
  <c r="JM23" i="1"/>
  <c r="JN23" i="1" s="1"/>
  <c r="JQ23" i="1" s="1"/>
  <c r="KQ24" i="1" s="1"/>
  <c r="KD23" i="1"/>
  <c r="HM23" i="1"/>
  <c r="IM23" i="1" s="1"/>
  <c r="IT23" i="1" s="1"/>
  <c r="HN23" i="1"/>
  <c r="FV25" i="1"/>
  <c r="KD22" i="1"/>
  <c r="JN22" i="1"/>
  <c r="JQ22" i="1" s="1"/>
  <c r="KQ23" i="1" s="1"/>
  <c r="JM22" i="1"/>
  <c r="JD22" i="1"/>
  <c r="IR22" i="1"/>
  <c r="IF22" i="1"/>
  <c r="LP22" i="1" s="1"/>
  <c r="KH22" i="1"/>
  <c r="KF22" i="1"/>
  <c r="HN22" i="1"/>
  <c r="IN22" i="1" s="1"/>
  <c r="JB22" i="1" s="1"/>
  <c r="JO22" i="1"/>
  <c r="HM22" i="1"/>
  <c r="IM22" i="1" s="1"/>
  <c r="FW22" i="1"/>
  <c r="FU25" i="1"/>
  <c r="MS21" i="1"/>
  <c r="KD21" i="1"/>
  <c r="JZ21" i="1"/>
  <c r="JN21" i="1"/>
  <c r="JQ21" i="1" s="1"/>
  <c r="KQ22" i="1" s="1"/>
  <c r="JM21" i="1"/>
  <c r="IZ21" i="1"/>
  <c r="IM21" i="1"/>
  <c r="IF21" i="1"/>
  <c r="LP21" i="1" s="1"/>
  <c r="KH21" i="1"/>
  <c r="KF21" i="1"/>
  <c r="HN21" i="1"/>
  <c r="IN21" i="1" s="1"/>
  <c r="IX21" i="1" s="1"/>
  <c r="JO21" i="1"/>
  <c r="HM21" i="1"/>
  <c r="MS20" i="1"/>
  <c r="KH20" i="1"/>
  <c r="KF20" i="1"/>
  <c r="JZ20" i="1"/>
  <c r="JO20" i="1"/>
  <c r="JE20" i="1"/>
  <c r="LS20" i="1" s="1"/>
  <c r="IF20" i="1"/>
  <c r="LP20" i="1" s="1"/>
  <c r="KD20" i="1"/>
  <c r="HW20" i="1"/>
  <c r="HY20" i="1" s="1"/>
  <c r="KB20" i="1" s="1"/>
  <c r="HN20" i="1"/>
  <c r="IN20" i="1" s="1"/>
  <c r="CH20" i="1"/>
  <c r="CE20" i="1"/>
  <c r="CB20" i="1"/>
  <c r="BY20" i="1"/>
  <c r="BV20" i="1"/>
  <c r="BR20" i="1"/>
  <c r="BN20" i="1"/>
  <c r="BJ20" i="1"/>
  <c r="BF20" i="1"/>
  <c r="BB20" i="1"/>
  <c r="AX20" i="1"/>
  <c r="H20" i="1"/>
  <c r="MS19" i="1"/>
  <c r="KH19" i="1"/>
  <c r="KF19" i="1"/>
  <c r="JO19" i="1"/>
  <c r="IT19" i="1"/>
  <c r="JE19" i="1"/>
  <c r="LS19" i="1" s="1"/>
  <c r="KD19" i="1"/>
  <c r="HM19" i="1"/>
  <c r="IM19" i="1" s="1"/>
  <c r="HN19" i="1"/>
  <c r="FW19" i="1"/>
  <c r="CH19" i="1"/>
  <c r="CE19" i="1"/>
  <c r="CB19" i="1"/>
  <c r="BY19" i="1"/>
  <c r="BV19" i="1"/>
  <c r="BR19" i="1"/>
  <c r="BN19" i="1"/>
  <c r="BJ19" i="1"/>
  <c r="BF19" i="1"/>
  <c r="BB19" i="1"/>
  <c r="AX19" i="1"/>
  <c r="MS18" i="1"/>
  <c r="KH18" i="1"/>
  <c r="KF18" i="1"/>
  <c r="KD18" i="1"/>
  <c r="JO18" i="1"/>
  <c r="JM18" i="1"/>
  <c r="JN18" i="1" s="1"/>
  <c r="JQ18" i="1" s="1"/>
  <c r="KQ19" i="1" s="1"/>
  <c r="JE18" i="1"/>
  <c r="LS18" i="1" s="1"/>
  <c r="IM18" i="1"/>
  <c r="IT18" i="1" s="1"/>
  <c r="IF18" i="1"/>
  <c r="LP18" i="1" s="1"/>
  <c r="HN18" i="1"/>
  <c r="IN18" i="1" s="1"/>
  <c r="HM18" i="1"/>
  <c r="FW18" i="1"/>
  <c r="CH18" i="1"/>
  <c r="CE18" i="1"/>
  <c r="CB18" i="1"/>
  <c r="BY18" i="1"/>
  <c r="BV18" i="1"/>
  <c r="BR18" i="1"/>
  <c r="BN18" i="1"/>
  <c r="BJ18" i="1"/>
  <c r="BF18" i="1"/>
  <c r="BB18" i="1"/>
  <c r="AX18" i="1"/>
  <c r="MS17" i="1"/>
  <c r="JZ17" i="1"/>
  <c r="JM17" i="1"/>
  <c r="JN17" i="1" s="1"/>
  <c r="JQ17" i="1" s="1"/>
  <c r="KQ18" i="1" s="1"/>
  <c r="JE17" i="1"/>
  <c r="LS17" i="1" s="1"/>
  <c r="IF17" i="1"/>
  <c r="LP17" i="1" s="1"/>
  <c r="KH17" i="1"/>
  <c r="KF17" i="1"/>
  <c r="KD17" i="1"/>
  <c r="FW17" i="1"/>
  <c r="CH17" i="1"/>
  <c r="CE17" i="1"/>
  <c r="CB17" i="1"/>
  <c r="BY17" i="1"/>
  <c r="BV17" i="1"/>
  <c r="BR17" i="1"/>
  <c r="BN17" i="1"/>
  <c r="BJ17" i="1"/>
  <c r="BF17" i="1"/>
  <c r="BB17" i="1"/>
  <c r="AX17" i="1"/>
  <c r="MS16" i="1"/>
  <c r="KH16" i="1"/>
  <c r="KF16" i="1"/>
  <c r="KD16" i="1"/>
  <c r="IF16" i="1"/>
  <c r="LP16" i="1" s="1"/>
  <c r="FW16" i="1"/>
  <c r="CH16" i="1"/>
  <c r="CE16" i="1"/>
  <c r="CB16" i="1"/>
  <c r="BY16" i="1"/>
  <c r="BV16" i="1"/>
  <c r="BR16" i="1"/>
  <c r="BN16" i="1"/>
  <c r="BJ16" i="1"/>
  <c r="BF16" i="1"/>
  <c r="BB16" i="1"/>
  <c r="AX16" i="1"/>
  <c r="AN16" i="1"/>
  <c r="AN17" i="1" s="1"/>
  <c r="AN18" i="1" s="1"/>
  <c r="AN19" i="1" s="1"/>
  <c r="AN20" i="1" s="1"/>
  <c r="MS15" i="1"/>
  <c r="KF15" i="1"/>
  <c r="JZ15" i="1"/>
  <c r="JO15" i="1"/>
  <c r="IZ15" i="1"/>
  <c r="JE15" i="1"/>
  <c r="LS15" i="1" s="1"/>
  <c r="IM15" i="1"/>
  <c r="KH15" i="1"/>
  <c r="KD15" i="1"/>
  <c r="IF15" i="1"/>
  <c r="LP15" i="1" s="1"/>
  <c r="LV15" i="1" s="1"/>
  <c r="HN15" i="1"/>
  <c r="IN15" i="1" s="1"/>
  <c r="IX15" i="1" s="1"/>
  <c r="HM15" i="1"/>
  <c r="JM15" i="1"/>
  <c r="JN15" i="1" s="1"/>
  <c r="JQ15" i="1" s="1"/>
  <c r="KQ16" i="1" s="1"/>
  <c r="FW15" i="1"/>
  <c r="CH15" i="1"/>
  <c r="CE15" i="1"/>
  <c r="CB15" i="1"/>
  <c r="BY15" i="1"/>
  <c r="BV15" i="1"/>
  <c r="BR15" i="1"/>
  <c r="BN15" i="1"/>
  <c r="BJ15" i="1"/>
  <c r="BF15" i="1"/>
  <c r="BB15" i="1"/>
  <c r="AX15" i="1"/>
  <c r="MS14" i="1"/>
  <c r="KH14" i="1"/>
  <c r="KF14" i="1"/>
  <c r="JO14" i="1"/>
  <c r="JE14" i="1"/>
  <c r="LS14" i="1" s="1"/>
  <c r="IT14" i="1"/>
  <c r="KD14" i="1"/>
  <c r="HM14" i="1"/>
  <c r="IM14" i="1" s="1"/>
  <c r="HN14" i="1"/>
  <c r="JM14" i="1"/>
  <c r="JN14" i="1" s="1"/>
  <c r="JQ14" i="1" s="1"/>
  <c r="KQ15" i="1" s="1"/>
  <c r="FW14" i="1"/>
  <c r="CH14" i="1"/>
  <c r="CE14" i="1"/>
  <c r="CB14" i="1"/>
  <c r="BY14" i="1"/>
  <c r="BV14" i="1"/>
  <c r="BR14" i="1"/>
  <c r="BN14" i="1"/>
  <c r="BJ14" i="1"/>
  <c r="BF14" i="1"/>
  <c r="BB14" i="1"/>
  <c r="AX14" i="1"/>
  <c r="MS13" i="1"/>
  <c r="KH13" i="1"/>
  <c r="IF13" i="1"/>
  <c r="LP13" i="1" s="1"/>
  <c r="KF13" i="1"/>
  <c r="KD13" i="1"/>
  <c r="HN13" i="1"/>
  <c r="CH13" i="1"/>
  <c r="CE13" i="1"/>
  <c r="CB13" i="1"/>
  <c r="BY13" i="1"/>
  <c r="BV13" i="1"/>
  <c r="BR13" i="1"/>
  <c r="BN13" i="1"/>
  <c r="BJ13" i="1"/>
  <c r="BF13" i="1"/>
  <c r="BB13" i="1"/>
  <c r="AX13" i="1"/>
  <c r="MS12" i="1"/>
  <c r="KH12" i="1"/>
  <c r="KF12" i="1"/>
  <c r="KD12" i="1"/>
  <c r="JZ12" i="1"/>
  <c r="JO12" i="1"/>
  <c r="JM12" i="1"/>
  <c r="JN12" i="1" s="1"/>
  <c r="JQ12" i="1" s="1"/>
  <c r="KQ13" i="1" s="1"/>
  <c r="IT12" i="1"/>
  <c r="IF12" i="1"/>
  <c r="LP12" i="1" s="1"/>
  <c r="HN12" i="1"/>
  <c r="IN12" i="1" s="1"/>
  <c r="HM12" i="1"/>
  <c r="IM12" i="1" s="1"/>
  <c r="GK12" i="1"/>
  <c r="FW12" i="1"/>
  <c r="EJ12" i="1"/>
  <c r="EG12" i="1"/>
  <c r="MS11" i="1"/>
  <c r="MK11" i="1"/>
  <c r="MJ11" i="1"/>
  <c r="MJ29" i="1" s="1"/>
  <c r="KF11" i="1"/>
  <c r="JZ11" i="1"/>
  <c r="JO11" i="1"/>
  <c r="KH11" i="1"/>
  <c r="IF11" i="1"/>
  <c r="LP11" i="1" s="1"/>
  <c r="KD11" i="1"/>
  <c r="HN11" i="1"/>
  <c r="GO11" i="1"/>
  <c r="GK11" i="1"/>
  <c r="FW11" i="1"/>
  <c r="CH11" i="1"/>
  <c r="CE11" i="1"/>
  <c r="CB11" i="1"/>
  <c r="BY11" i="1"/>
  <c r="BV11" i="1"/>
  <c r="BR11" i="1"/>
  <c r="BN11" i="1"/>
  <c r="BJ11" i="1"/>
  <c r="BF11" i="1"/>
  <c r="BB11" i="1"/>
  <c r="AX11" i="1"/>
  <c r="MS10" i="1"/>
  <c r="KH10" i="1"/>
  <c r="KD10" i="1"/>
  <c r="JZ10" i="1"/>
  <c r="JM10" i="1"/>
  <c r="JN10" i="1" s="1"/>
  <c r="JQ10" i="1" s="1"/>
  <c r="KQ11" i="1" s="1"/>
  <c r="KF10" i="1"/>
  <c r="IF10" i="1"/>
  <c r="LP10" i="1" s="1"/>
  <c r="HN10" i="1"/>
  <c r="HW10" i="1" s="1"/>
  <c r="HY10" i="1" s="1"/>
  <c r="GK10" i="1"/>
  <c r="FW10" i="1"/>
  <c r="EH12" i="1"/>
  <c r="CH10" i="1"/>
  <c r="CE10" i="1"/>
  <c r="CB10" i="1"/>
  <c r="BY10" i="1"/>
  <c r="BV10" i="1"/>
  <c r="BR10" i="1"/>
  <c r="BN10" i="1"/>
  <c r="BJ10" i="1"/>
  <c r="BF10" i="1"/>
  <c r="BB10" i="1"/>
  <c r="AX10" i="1"/>
  <c r="Y12" i="1"/>
  <c r="X12" i="1"/>
  <c r="MS9" i="1"/>
  <c r="KD9" i="1"/>
  <c r="JM9" i="1"/>
  <c r="JN9" i="1" s="1"/>
  <c r="JQ9" i="1" s="1"/>
  <c r="KQ10" i="1" s="1"/>
  <c r="KH9" i="1"/>
  <c r="IF9" i="1"/>
  <c r="LP9" i="1" s="1"/>
  <c r="KF9" i="1"/>
  <c r="HM9" i="1"/>
  <c r="IM9" i="1" s="1"/>
  <c r="IT9" i="1" s="1"/>
  <c r="GO9" i="1"/>
  <c r="GK9" i="1"/>
  <c r="FG9" i="1"/>
  <c r="FD9" i="1"/>
  <c r="DR9" i="1"/>
  <c r="DQ9" i="1"/>
  <c r="DF9" i="1"/>
  <c r="CT9" i="1"/>
  <c r="CH9" i="1"/>
  <c r="CE9" i="1"/>
  <c r="CB9" i="1"/>
  <c r="BY9" i="1"/>
  <c r="BV9" i="1"/>
  <c r="BR9" i="1"/>
  <c r="BN9" i="1"/>
  <c r="BJ9" i="1"/>
  <c r="BF9" i="1"/>
  <c r="BB9" i="1"/>
  <c r="AX9" i="1"/>
  <c r="MS8" i="1"/>
  <c r="MR8" i="1"/>
  <c r="MR9" i="1" s="1"/>
  <c r="MR10" i="1" s="1"/>
  <c r="MR11" i="1" s="1"/>
  <c r="MR12" i="1" s="1"/>
  <c r="MR13" i="1" s="1"/>
  <c r="MR14" i="1" s="1"/>
  <c r="MR15" i="1" s="1"/>
  <c r="MR16" i="1" s="1"/>
  <c r="MR17" i="1" s="1"/>
  <c r="MR18" i="1" s="1"/>
  <c r="MR19" i="1" s="1"/>
  <c r="MR20" i="1" s="1"/>
  <c r="MR21" i="1" s="1"/>
  <c r="MR22" i="1" s="1"/>
  <c r="MR23" i="1" s="1"/>
  <c r="MR24" i="1" s="1"/>
  <c r="MR25" i="1" s="1"/>
  <c r="MR26" i="1" s="1"/>
  <c r="MR27" i="1" s="1"/>
  <c r="MR28" i="1" s="1"/>
  <c r="MR29" i="1" s="1"/>
  <c r="MR30" i="1" s="1"/>
  <c r="MR31" i="1" s="1"/>
  <c r="MR32" i="1" s="1"/>
  <c r="MR34" i="1" s="1"/>
  <c r="MR35" i="1" s="1"/>
  <c r="MH8" i="1"/>
  <c r="MH9" i="1" s="1"/>
  <c r="MH10" i="1" s="1"/>
  <c r="MH11" i="1" s="1"/>
  <c r="MH12" i="1" s="1"/>
  <c r="MH13" i="1" s="1"/>
  <c r="MH14" i="1" s="1"/>
  <c r="MH15" i="1" s="1"/>
  <c r="MH16" i="1" s="1"/>
  <c r="MH17" i="1" s="1"/>
  <c r="MH18" i="1" s="1"/>
  <c r="MH19" i="1" s="1"/>
  <c r="MH20" i="1" s="1"/>
  <c r="MH21" i="1" s="1"/>
  <c r="MH22" i="1" s="1"/>
  <c r="MH23" i="1" s="1"/>
  <c r="MH24" i="1" s="1"/>
  <c r="MH25" i="1" s="1"/>
  <c r="MH26" i="1" s="1"/>
  <c r="MH27" i="1" s="1"/>
  <c r="MH28" i="1" s="1"/>
  <c r="MH29" i="1" s="1"/>
  <c r="MH30" i="1" s="1"/>
  <c r="MH31" i="1" s="1"/>
  <c r="MH32" i="1" s="1"/>
  <c r="MH34" i="1" s="1"/>
  <c r="MH35" i="1" s="1"/>
  <c r="MB8" i="1"/>
  <c r="MB9" i="1" s="1"/>
  <c r="MB10" i="1" s="1"/>
  <c r="MB11" i="1" s="1"/>
  <c r="MB12" i="1" s="1"/>
  <c r="MB13" i="1" s="1"/>
  <c r="KO8" i="1"/>
  <c r="KO9" i="1" s="1"/>
  <c r="KO10" i="1" s="1"/>
  <c r="KO11" i="1" s="1"/>
  <c r="KO12" i="1" s="1"/>
  <c r="KO13" i="1" s="1"/>
  <c r="KO14" i="1" s="1"/>
  <c r="KO15" i="1" s="1"/>
  <c r="KO16" i="1" s="1"/>
  <c r="KO17" i="1" s="1"/>
  <c r="KO18" i="1" s="1"/>
  <c r="KO19" i="1" s="1"/>
  <c r="KO20" i="1" s="1"/>
  <c r="KO21" i="1" s="1"/>
  <c r="KO22" i="1" s="1"/>
  <c r="KO23" i="1" s="1"/>
  <c r="KO24" i="1" s="1"/>
  <c r="KO25" i="1" s="1"/>
  <c r="KO26" i="1" s="1"/>
  <c r="KO27" i="1" s="1"/>
  <c r="KO28" i="1" s="1"/>
  <c r="JE8" i="1"/>
  <c r="LS8" i="1" s="1"/>
  <c r="KH8" i="1"/>
  <c r="KF8" i="1"/>
  <c r="KD8" i="1"/>
  <c r="IF8" i="1"/>
  <c r="LP8" i="1" s="1"/>
  <c r="LV8" i="1" s="1"/>
  <c r="GX8" i="1"/>
  <c r="GO8" i="1"/>
  <c r="GK8" i="1"/>
  <c r="FW8" i="1"/>
  <c r="FQ8" i="1"/>
  <c r="FQ9" i="1" s="1"/>
  <c r="FQ10" i="1" s="1"/>
  <c r="FQ11" i="1" s="1"/>
  <c r="FQ12" i="1" s="1"/>
  <c r="FQ13" i="1" s="1"/>
  <c r="FQ14" i="1" s="1"/>
  <c r="FQ15" i="1" s="1"/>
  <c r="FQ16" i="1" s="1"/>
  <c r="FQ17" i="1" s="1"/>
  <c r="FQ18" i="1" s="1"/>
  <c r="FQ19" i="1" s="1"/>
  <c r="FQ20" i="1" s="1"/>
  <c r="FQ21" i="1" s="1"/>
  <c r="FQ22" i="1" s="1"/>
  <c r="FQ23" i="1" s="1"/>
  <c r="FQ24" i="1" s="1"/>
  <c r="FQ25" i="1" s="1"/>
  <c r="FQ26" i="1" s="1"/>
  <c r="FQ27" i="1" s="1"/>
  <c r="FQ28" i="1" s="1"/>
  <c r="FQ29" i="1" s="1"/>
  <c r="FQ30" i="1" s="1"/>
  <c r="FQ31" i="1" s="1"/>
  <c r="FQ32" i="1" s="1"/>
  <c r="FQ33" i="1" s="1"/>
  <c r="FQ34" i="1" s="1"/>
  <c r="FQ35" i="1" s="1"/>
  <c r="FQ36" i="1" s="1"/>
  <c r="FQ37" i="1" s="1"/>
  <c r="FQ38" i="1" s="1"/>
  <c r="FJ8" i="1"/>
  <c r="FF8" i="1"/>
  <c r="EW8" i="1"/>
  <c r="ES8" i="1"/>
  <c r="CZ8" i="1"/>
  <c r="CV8" i="1"/>
  <c r="CH8" i="1"/>
  <c r="CE8" i="1"/>
  <c r="CB8" i="1"/>
  <c r="BY8" i="1"/>
  <c r="BV8" i="1"/>
  <c r="BR8" i="1"/>
  <c r="BN8" i="1"/>
  <c r="BJ8" i="1"/>
  <c r="BF8" i="1"/>
  <c r="BB8" i="1"/>
  <c r="AX8" i="1"/>
  <c r="AF8" i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MS7" i="1"/>
  <c r="MB7" i="1"/>
  <c r="KO7" i="1"/>
  <c r="JZ7" i="1"/>
  <c r="JE7" i="1"/>
  <c r="LS7" i="1" s="1"/>
  <c r="KH7" i="1"/>
  <c r="KF7" i="1"/>
  <c r="IF7" i="1"/>
  <c r="LP7" i="1" s="1"/>
  <c r="LV7" i="1" s="1"/>
  <c r="KD7" i="1"/>
  <c r="GX7" i="1"/>
  <c r="GK7" i="1"/>
  <c r="FU20" i="1"/>
  <c r="FU38" i="1" s="1"/>
  <c r="FT20" i="1"/>
  <c r="FJ7" i="1"/>
  <c r="FC9" i="1"/>
  <c r="EW7" i="1"/>
  <c r="ES7" i="1"/>
  <c r="EF12" i="1"/>
  <c r="EE12" i="1"/>
  <c r="EC12" i="1"/>
  <c r="CZ7" i="1"/>
  <c r="CV7" i="1"/>
  <c r="CH7" i="1"/>
  <c r="CE7" i="1"/>
  <c r="CB7" i="1"/>
  <c r="BY7" i="1"/>
  <c r="BV7" i="1"/>
  <c r="BR7" i="1"/>
  <c r="BN7" i="1"/>
  <c r="BJ7" i="1"/>
  <c r="BF7" i="1"/>
  <c r="BB7" i="1"/>
  <c r="AX7" i="1"/>
  <c r="AI7" i="1"/>
  <c r="AA7" i="1"/>
  <c r="V7" i="1"/>
  <c r="V8" i="1" s="1"/>
  <c r="V10" i="1" s="1"/>
  <c r="V11" i="1" s="1"/>
  <c r="V12" i="1" s="1"/>
  <c r="V14" i="1" s="1"/>
  <c r="V15" i="1" s="1"/>
  <c r="V16" i="1" s="1"/>
  <c r="V18" i="1" s="1"/>
  <c r="V19" i="1" s="1"/>
  <c r="V20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4" i="1" s="1"/>
  <c r="B25" i="1" s="1"/>
  <c r="KD6" i="1"/>
  <c r="JZ6" i="1"/>
  <c r="JM6" i="1"/>
  <c r="IW26" i="1"/>
  <c r="IV26" i="1"/>
  <c r="IU26" i="1"/>
  <c r="IS26" i="1"/>
  <c r="IE26" i="1"/>
  <c r="ID26" i="1"/>
  <c r="IC26" i="1"/>
  <c r="IB26" i="1"/>
  <c r="HM6" i="1"/>
  <c r="IM6" i="1" s="1"/>
  <c r="HL26" i="1"/>
  <c r="KI8" i="1" s="1"/>
  <c r="HK26" i="1"/>
  <c r="GN13" i="1"/>
  <c r="GM13" i="1"/>
  <c r="GL13" i="1"/>
  <c r="GK6" i="1"/>
  <c r="FI9" i="1"/>
  <c r="FJ6" i="1"/>
  <c r="FF6" i="1"/>
  <c r="EV9" i="1"/>
  <c r="EU9" i="1"/>
  <c r="EW6" i="1"/>
  <c r="ER9" i="1"/>
  <c r="EQ9" i="1"/>
  <c r="EP9" i="1"/>
  <c r="EF6" i="1"/>
  <c r="DW9" i="1"/>
  <c r="DV9" i="1"/>
  <c r="DU9" i="1"/>
  <c r="DT9" i="1"/>
  <c r="DS9" i="1"/>
  <c r="DP9" i="1"/>
  <c r="DJ9" i="1"/>
  <c r="DI9" i="1"/>
  <c r="DH9" i="1"/>
  <c r="DG9" i="1"/>
  <c r="CY9" i="1"/>
  <c r="CX9" i="1"/>
  <c r="CW9" i="1"/>
  <c r="CV6" i="1"/>
  <c r="CS9" i="1"/>
  <c r="JY5" i="1"/>
  <c r="KX4" i="1"/>
  <c r="LB4" i="1" s="1"/>
  <c r="KV4" i="1"/>
  <c r="KF4" i="1"/>
  <c r="KA4" i="1"/>
  <c r="JZ4" i="1"/>
  <c r="IO4" i="1"/>
  <c r="IS4" i="1" s="1"/>
  <c r="IU4" i="1" s="1"/>
  <c r="IW4" i="1" s="1"/>
  <c r="IY4" i="1" s="1"/>
  <c r="HW4" i="1"/>
  <c r="FZ4" i="1"/>
  <c r="FX4" i="1"/>
  <c r="AJ4" i="1"/>
  <c r="AI4" i="1"/>
  <c r="AH4" i="1"/>
  <c r="CW3" i="1"/>
  <c r="DH3" i="1" s="1"/>
  <c r="CS3" i="1"/>
  <c r="DF3" i="1" s="1"/>
  <c r="N11" i="1" l="1"/>
  <c r="MM11" i="1"/>
  <c r="MM29" i="1" s="1"/>
  <c r="MN29" i="1" s="1"/>
  <c r="EH4" i="2"/>
  <c r="GZ5" i="2"/>
  <c r="IS5" i="2" s="1"/>
  <c r="EH5" i="2"/>
  <c r="IZ18" i="1"/>
  <c r="JD18" i="1"/>
  <c r="IX18" i="1"/>
  <c r="IZ20" i="1"/>
  <c r="IX20" i="1"/>
  <c r="KZ4" i="1"/>
  <c r="LF4" i="1" s="1"/>
  <c r="LH4" i="1" s="1"/>
  <c r="CV9" i="1"/>
  <c r="F14" i="1" s="1"/>
  <c r="KI10" i="1"/>
  <c r="MN11" i="1"/>
  <c r="IR21" i="1"/>
  <c r="IQ4" i="1"/>
  <c r="GK13" i="1"/>
  <c r="KI7" i="1"/>
  <c r="HW24" i="1"/>
  <c r="HY24" i="1" s="1"/>
  <c r="MU11" i="1"/>
  <c r="MV11" i="1" s="1"/>
  <c r="MW11" i="1" s="1"/>
  <c r="HW18" i="1"/>
  <c r="HY18" i="1" s="1"/>
  <c r="IX22" i="1"/>
  <c r="IG20" i="1"/>
  <c r="LQ20" i="1" s="1"/>
  <c r="IG10" i="1"/>
  <c r="LQ10" i="1" s="1"/>
  <c r="KB10" i="1"/>
  <c r="KE4" i="1"/>
  <c r="KG4" i="1" s="1"/>
  <c r="AI11" i="1"/>
  <c r="JD12" i="1"/>
  <c r="IR12" i="1"/>
  <c r="JB12" i="1"/>
  <c r="IP12" i="1"/>
  <c r="IZ12" i="1"/>
  <c r="AJ7" i="1"/>
  <c r="FJ9" i="1"/>
  <c r="AJ11" i="1"/>
  <c r="DP3" i="1"/>
  <c r="EC3" i="1"/>
  <c r="EP3" i="1" s="1"/>
  <c r="FK8" i="1"/>
  <c r="F16" i="1"/>
  <c r="AH11" i="1"/>
  <c r="EW9" i="1"/>
  <c r="H16" i="1"/>
  <c r="IT8" i="1"/>
  <c r="KX10" i="1"/>
  <c r="DT3" i="1"/>
  <c r="EG3" i="1"/>
  <c r="ET3" i="1" s="1"/>
  <c r="F15" i="1"/>
  <c r="F17" i="1"/>
  <c r="GO6" i="1"/>
  <c r="KZ10" i="1"/>
  <c r="GU9" i="1"/>
  <c r="JB10" i="1"/>
  <c r="H17" i="1"/>
  <c r="GO12" i="1"/>
  <c r="HW12" i="1"/>
  <c r="HY12" i="1" s="1"/>
  <c r="KX13" i="1"/>
  <c r="IN14" i="1"/>
  <c r="IZ14" i="1" s="1"/>
  <c r="HW14" i="1"/>
  <c r="HY14" i="1" s="1"/>
  <c r="IN19" i="1"/>
  <c r="IZ19" i="1" s="1"/>
  <c r="HW19" i="1"/>
  <c r="HY19" i="1" s="1"/>
  <c r="CZ6" i="1"/>
  <c r="CZ9" i="1" s="1"/>
  <c r="KI9" i="1"/>
  <c r="JZ8" i="1"/>
  <c r="FH9" i="1"/>
  <c r="GV9" i="1"/>
  <c r="HN9" i="1"/>
  <c r="HM10" i="1"/>
  <c r="IM10" i="1" s="1"/>
  <c r="IT10" i="1" s="1"/>
  <c r="KX11" i="1" s="1"/>
  <c r="IN10" i="1"/>
  <c r="Q11" i="1"/>
  <c r="O11" i="1"/>
  <c r="JZ13" i="1"/>
  <c r="KI14" i="1"/>
  <c r="IP14" i="1"/>
  <c r="KX19" i="1"/>
  <c r="IT11" i="1"/>
  <c r="LD4" i="1"/>
  <c r="ES6" i="1"/>
  <c r="ES9" i="1" s="1"/>
  <c r="KY28" i="1"/>
  <c r="IV27" i="1"/>
  <c r="HM7" i="1"/>
  <c r="IM7" i="1" s="1"/>
  <c r="IT7" i="1" s="1"/>
  <c r="JM7" i="1"/>
  <c r="JN7" i="1" s="1"/>
  <c r="HB8" i="1"/>
  <c r="GW9" i="1"/>
  <c r="JE10" i="1"/>
  <c r="LS10" i="1" s="1"/>
  <c r="LV10" i="1" s="1"/>
  <c r="IP10" i="1"/>
  <c r="P11" i="1"/>
  <c r="KZ13" i="1"/>
  <c r="IR14" i="1"/>
  <c r="H15" i="1"/>
  <c r="KZ17" i="1"/>
  <c r="IC27" i="1"/>
  <c r="IT6" i="1"/>
  <c r="KZ15" i="1"/>
  <c r="HM16" i="1"/>
  <c r="IM16" i="1" s="1"/>
  <c r="IT16" i="1" s="1"/>
  <c r="JM16" i="1"/>
  <c r="JN16" i="1" s="1"/>
  <c r="JQ16" i="1" s="1"/>
  <c r="KQ17" i="1" s="1"/>
  <c r="JA4" i="1"/>
  <c r="JO6" i="1"/>
  <c r="GX6" i="1"/>
  <c r="F8" i="1"/>
  <c r="K9" i="1"/>
  <c r="JO10" i="1"/>
  <c r="IX12" i="1"/>
  <c r="IP13" i="1"/>
  <c r="KI20" i="1"/>
  <c r="HN6" i="1"/>
  <c r="GI13" i="1"/>
  <c r="CU9" i="1"/>
  <c r="JE9" i="1"/>
  <c r="LS9" i="1" s="1"/>
  <c r="LV9" i="1" s="1"/>
  <c r="JM11" i="1"/>
  <c r="JN11" i="1" s="1"/>
  <c r="JQ11" i="1" s="1"/>
  <c r="KQ12" i="1" s="1"/>
  <c r="KZ12" i="1" s="1"/>
  <c r="Z12" i="1"/>
  <c r="IN13" i="1"/>
  <c r="IZ13" i="1" s="1"/>
  <c r="HW13" i="1"/>
  <c r="HY13" i="1" s="1"/>
  <c r="KZ18" i="1"/>
  <c r="IF6" i="1"/>
  <c r="LP6" i="1" s="1"/>
  <c r="KF6" i="1"/>
  <c r="KF26" i="1" s="1"/>
  <c r="ED12" i="1"/>
  <c r="HN7" i="1"/>
  <c r="JM13" i="1"/>
  <c r="JN13" i="1" s="1"/>
  <c r="JQ13" i="1" s="1"/>
  <c r="KQ14" i="1" s="1"/>
  <c r="KI6" i="1"/>
  <c r="GJ13" i="1"/>
  <c r="IO26" i="1"/>
  <c r="JA26" i="1"/>
  <c r="ET9" i="1"/>
  <c r="FM9" i="1"/>
  <c r="IN11" i="1"/>
  <c r="IR11" i="1" s="1"/>
  <c r="HW11" i="1"/>
  <c r="HY11" i="1" s="1"/>
  <c r="FW13" i="1"/>
  <c r="KI13" i="1"/>
  <c r="IF14" i="1"/>
  <c r="LP14" i="1" s="1"/>
  <c r="LV14" i="1" s="1"/>
  <c r="IX14" i="1"/>
  <c r="KB18" i="1"/>
  <c r="IG18" i="1"/>
  <c r="LQ18" i="1" s="1"/>
  <c r="IE27" i="1"/>
  <c r="FV20" i="1"/>
  <c r="FV38" i="1" s="1"/>
  <c r="FF7" i="1"/>
  <c r="FF9" i="1" s="1"/>
  <c r="JO7" i="1"/>
  <c r="IR13" i="1"/>
  <c r="HX26" i="1"/>
  <c r="FE9" i="1"/>
  <c r="HB6" i="1"/>
  <c r="HN8" i="1"/>
  <c r="JO8" i="1"/>
  <c r="EI12" i="1"/>
  <c r="HM13" i="1"/>
  <c r="IM13" i="1" s="1"/>
  <c r="IT13" i="1" s="1"/>
  <c r="KX14" i="1" s="1"/>
  <c r="KZ14" i="1"/>
  <c r="IB4" i="2"/>
  <c r="HN26" i="1"/>
  <c r="KI25" i="1"/>
  <c r="KI22" i="1"/>
  <c r="KI21" i="1"/>
  <c r="KI19" i="1"/>
  <c r="KI11" i="1"/>
  <c r="K24" i="1"/>
  <c r="L11" i="1" s="1"/>
  <c r="KI15" i="1"/>
  <c r="KI24" i="1"/>
  <c r="JD13" i="1"/>
  <c r="FT38" i="1"/>
  <c r="FW7" i="1"/>
  <c r="IY26" i="1"/>
  <c r="JQ6" i="1"/>
  <c r="KQ7" i="1" s="1"/>
  <c r="KZ7" i="1" s="1"/>
  <c r="KH6" i="1"/>
  <c r="KH26" i="1" s="1"/>
  <c r="JM8" i="1"/>
  <c r="JN8" i="1" s="1"/>
  <c r="JQ8" i="1" s="1"/>
  <c r="KQ9" i="1" s="1"/>
  <c r="KZ9" i="1" s="1"/>
  <c r="HM8" i="1"/>
  <c r="IM8" i="1" s="1"/>
  <c r="HI26" i="1"/>
  <c r="HZ26" i="1"/>
  <c r="IQ26" i="1"/>
  <c r="JC26" i="1"/>
  <c r="FW9" i="1"/>
  <c r="KZ11" i="1"/>
  <c r="HM11" i="1"/>
  <c r="IM11" i="1" s="1"/>
  <c r="IP11" i="1"/>
  <c r="LV12" i="1"/>
  <c r="IX13" i="1"/>
  <c r="IR15" i="1"/>
  <c r="JD15" i="1"/>
  <c r="JB15" i="1"/>
  <c r="JO9" i="1"/>
  <c r="GH13" i="1"/>
  <c r="HJ26" i="1"/>
  <c r="IA26" i="1"/>
  <c r="AH7" i="1"/>
  <c r="IX10" i="1"/>
  <c r="M11" i="1"/>
  <c r="J11" i="1"/>
  <c r="KI12" i="1"/>
  <c r="JD14" i="1"/>
  <c r="AJ13" i="1"/>
  <c r="JE6" i="1"/>
  <c r="LS6" i="1" s="1"/>
  <c r="GO10" i="1"/>
  <c r="JE12" i="1"/>
  <c r="LS12" i="1" s="1"/>
  <c r="JB13" i="1"/>
  <c r="KZ16" i="1"/>
  <c r="JE16" i="1"/>
  <c r="LS16" i="1" s="1"/>
  <c r="LV16" i="1" s="1"/>
  <c r="K17" i="1"/>
  <c r="JB18" i="1"/>
  <c r="IT22" i="1"/>
  <c r="KX23" i="1" s="1"/>
  <c r="LV25" i="1"/>
  <c r="JE11" i="1"/>
  <c r="LS11" i="1" s="1"/>
  <c r="LV11" i="1" s="1"/>
  <c r="JE13" i="1"/>
  <c r="LS13" i="1" s="1"/>
  <c r="LV13" i="1" s="1"/>
  <c r="JZ14" i="1"/>
  <c r="KI16" i="1"/>
  <c r="JO16" i="1"/>
  <c r="JZ16" i="1"/>
  <c r="KZ20" i="1"/>
  <c r="IF23" i="1"/>
  <c r="LP23" i="1" s="1"/>
  <c r="JE25" i="1"/>
  <c r="LS25" i="1" s="1"/>
  <c r="HN16" i="1"/>
  <c r="IP18" i="1"/>
  <c r="IF19" i="1"/>
  <c r="LP19" i="1" s="1"/>
  <c r="LV19" i="1" s="1"/>
  <c r="IX19" i="1"/>
  <c r="LV20" i="1"/>
  <c r="IP21" i="1"/>
  <c r="KZ23" i="1"/>
  <c r="IR24" i="1"/>
  <c r="HW15" i="1"/>
  <c r="HY15" i="1" s="1"/>
  <c r="JB19" i="1"/>
  <c r="JD20" i="1"/>
  <c r="IR20" i="1"/>
  <c r="JB20" i="1"/>
  <c r="IP20" i="1"/>
  <c r="IT21" i="1"/>
  <c r="KX22" i="1" s="1"/>
  <c r="IZ22" i="1"/>
  <c r="HW25" i="1"/>
  <c r="HY25" i="1" s="1"/>
  <c r="IN25" i="1"/>
  <c r="JB25" i="1" s="1"/>
  <c r="JD19" i="1"/>
  <c r="KB24" i="1"/>
  <c r="IG24" i="1"/>
  <c r="LQ24" i="1" s="1"/>
  <c r="JO13" i="1"/>
  <c r="IP15" i="1"/>
  <c r="HM17" i="1"/>
  <c r="IM17" i="1" s="1"/>
  <c r="IT17" i="1" s="1"/>
  <c r="KX18" i="1" s="1"/>
  <c r="LV18" i="1"/>
  <c r="KZ19" i="1"/>
  <c r="KJ20" i="1"/>
  <c r="KZ22" i="1"/>
  <c r="IN23" i="1"/>
  <c r="IP23" i="1" s="1"/>
  <c r="HW23" i="1"/>
  <c r="HY23" i="1" s="1"/>
  <c r="IZ24" i="1"/>
  <c r="KI17" i="1"/>
  <c r="JO17" i="1"/>
  <c r="LV17" i="1"/>
  <c r="JZ9" i="1"/>
  <c r="AA10" i="1"/>
  <c r="MU29" i="1"/>
  <c r="MV29" i="1" s="1"/>
  <c r="MW29" i="1" s="1"/>
  <c r="MK29" i="1"/>
  <c r="IT15" i="1"/>
  <c r="KX16" i="1" s="1"/>
  <c r="HN17" i="1"/>
  <c r="KI18" i="1"/>
  <c r="IP19" i="1"/>
  <c r="KZ21" i="1"/>
  <c r="JB21" i="1"/>
  <c r="FW23" i="1"/>
  <c r="KX15" i="1"/>
  <c r="JD21" i="1"/>
  <c r="IP22" i="1"/>
  <c r="JE21" i="1"/>
  <c r="LS21" i="1" s="1"/>
  <c r="LV21" i="1" s="1"/>
  <c r="JE22" i="1"/>
  <c r="LS22" i="1" s="1"/>
  <c r="LV22" i="1" s="1"/>
  <c r="JE23" i="1"/>
  <c r="LS23" i="1" s="1"/>
  <c r="JZ23" i="1"/>
  <c r="JB24" i="1"/>
  <c r="IX25" i="1"/>
  <c r="HM20" i="1"/>
  <c r="IM20" i="1" s="1"/>
  <c r="IT20" i="1" s="1"/>
  <c r="KX21" i="1" s="1"/>
  <c r="FT25" i="1"/>
  <c r="FW25" i="1" s="1"/>
  <c r="KX24" i="1"/>
  <c r="JM20" i="1"/>
  <c r="JN20" i="1" s="1"/>
  <c r="JQ20" i="1" s="1"/>
  <c r="KQ21" i="1" s="1"/>
  <c r="JM25" i="1"/>
  <c r="JN25" i="1" s="1"/>
  <c r="JQ25" i="1" s="1"/>
  <c r="KQ26" i="1" s="1"/>
  <c r="KZ26" i="1" s="1"/>
  <c r="FW32" i="1"/>
  <c r="FW37" i="1"/>
  <c r="JZ19" i="1"/>
  <c r="IP24" i="1"/>
  <c r="JE24" i="1"/>
  <c r="LS24" i="1" s="1"/>
  <c r="LV24" i="1" s="1"/>
  <c r="BY9" i="2"/>
  <c r="KX20" i="1"/>
  <c r="KI23" i="1"/>
  <c r="JM24" i="1"/>
  <c r="JN24" i="1" s="1"/>
  <c r="JQ24" i="1" s="1"/>
  <c r="KQ25" i="1" s="1"/>
  <c r="HM25" i="1"/>
  <c r="IM25" i="1" s="1"/>
  <c r="IT25" i="1" s="1"/>
  <c r="FW27" i="1"/>
  <c r="JM19" i="1"/>
  <c r="JN19" i="1" s="1"/>
  <c r="JQ19" i="1" s="1"/>
  <c r="KQ20" i="1" s="1"/>
  <c r="HW21" i="1"/>
  <c r="HY21" i="1" s="1"/>
  <c r="HW22" i="1"/>
  <c r="HY22" i="1" s="1"/>
  <c r="KZ24" i="1"/>
  <c r="IR18" i="1"/>
  <c r="JZ18" i="1"/>
  <c r="KZ25" i="1"/>
  <c r="IX24" i="1"/>
  <c r="ID4" i="2"/>
  <c r="KX25" i="1"/>
  <c r="AT29" i="2"/>
  <c r="AU4" i="2"/>
  <c r="JZ22" i="1"/>
  <c r="JZ24" i="1"/>
  <c r="MK26" i="1"/>
  <c r="MU34" i="1"/>
  <c r="GZ25" i="2"/>
  <c r="GZ28" i="2"/>
  <c r="IS28" i="2" s="1"/>
  <c r="GZ26" i="2"/>
  <c r="IS26" i="2" s="1"/>
  <c r="IV26" i="2" s="1"/>
  <c r="GZ22" i="2"/>
  <c r="GZ10" i="2"/>
  <c r="IS10" i="2" s="1"/>
  <c r="GZ9" i="2"/>
  <c r="IS9" i="2" s="1"/>
  <c r="AU5" i="2"/>
  <c r="AS14" i="2"/>
  <c r="AU14" i="2" s="1"/>
  <c r="MK27" i="1"/>
  <c r="AS11" i="2"/>
  <c r="GZ6" i="2"/>
  <c r="IS6" i="2" s="1"/>
  <c r="GZ8" i="2"/>
  <c r="IS8" i="2" s="1"/>
  <c r="GZ12" i="2"/>
  <c r="IS12" i="2" s="1"/>
  <c r="O17" i="2"/>
  <c r="O6" i="2"/>
  <c r="EH6" i="2"/>
  <c r="O7" i="2"/>
  <c r="AS9" i="2"/>
  <c r="O10" i="2"/>
  <c r="JO25" i="1"/>
  <c r="N29" i="2"/>
  <c r="AU8" i="2"/>
  <c r="GZ11" i="2"/>
  <c r="DW11" i="2"/>
  <c r="GZ13" i="2"/>
  <c r="DW13" i="2"/>
  <c r="O9" i="2"/>
  <c r="DW6" i="2"/>
  <c r="AS13" i="2"/>
  <c r="AU10" i="2"/>
  <c r="O14" i="2"/>
  <c r="AU16" i="2"/>
  <c r="AS20" i="2"/>
  <c r="DW12" i="2"/>
  <c r="GZ7" i="2"/>
  <c r="O8" i="2"/>
  <c r="O16" i="2"/>
  <c r="GZ17" i="2"/>
  <c r="IS17" i="2" s="1"/>
  <c r="IV17" i="2" s="1"/>
  <c r="EX25" i="2"/>
  <c r="GN25" i="2" s="1"/>
  <c r="EA25" i="2"/>
  <c r="AZ25" i="2"/>
  <c r="GI25" i="2" s="1"/>
  <c r="BS25" i="2"/>
  <c r="GJ25" i="2" s="1"/>
  <c r="DR25" i="2"/>
  <c r="GL25" i="2" s="1"/>
  <c r="GB25" i="2"/>
  <c r="GP25" i="2" s="1"/>
  <c r="CQ25" i="2"/>
  <c r="GK25" i="2" s="1"/>
  <c r="FM25" i="2"/>
  <c r="GO25" i="2" s="1"/>
  <c r="AU25" i="2"/>
  <c r="DW15" i="2"/>
  <c r="DW16" i="2"/>
  <c r="GZ18" i="2"/>
  <c r="IS18" i="2" s="1"/>
  <c r="GZ23" i="2"/>
  <c r="IS23" i="2" s="1"/>
  <c r="IV23" i="2" s="1"/>
  <c r="DW7" i="2"/>
  <c r="GZ14" i="2"/>
  <c r="GZ15" i="2"/>
  <c r="AU19" i="2"/>
  <c r="AS22" i="2"/>
  <c r="O26" i="2"/>
  <c r="O15" i="2"/>
  <c r="O21" i="2"/>
  <c r="GZ16" i="2"/>
  <c r="AU17" i="2"/>
  <c r="DW19" i="2"/>
  <c r="AS26" i="2"/>
  <c r="GZ21" i="2"/>
  <c r="IS21" i="2" s="1"/>
  <c r="AU21" i="2"/>
  <c r="DW23" i="2"/>
  <c r="HA24" i="2"/>
  <c r="GZ20" i="2"/>
  <c r="DW18" i="2"/>
  <c r="GZ19" i="2"/>
  <c r="IS19" i="2" s="1"/>
  <c r="DW28" i="2"/>
  <c r="AU23" i="2"/>
  <c r="GZ24" i="2"/>
  <c r="IS24" i="2" s="1"/>
  <c r="GZ27" i="2"/>
  <c r="IS27" i="2" s="1"/>
  <c r="O28" i="2"/>
  <c r="IT25" i="2"/>
  <c r="AU28" i="2"/>
  <c r="HW25" i="2"/>
  <c r="DW22" i="2"/>
  <c r="FK6" i="1" l="1"/>
  <c r="JD25" i="1"/>
  <c r="KX12" i="1"/>
  <c r="KX9" i="1"/>
  <c r="FL8" i="1"/>
  <c r="FM8" i="1" s="1"/>
  <c r="FL7" i="1"/>
  <c r="KX26" i="1"/>
  <c r="KX17" i="1"/>
  <c r="IX11" i="1"/>
  <c r="F10" i="1"/>
  <c r="F7" i="1" s="1"/>
  <c r="F9" i="1" s="1"/>
  <c r="IR19" i="1"/>
  <c r="JB14" i="1"/>
  <c r="IS16" i="2"/>
  <c r="IV16" i="2" s="1"/>
  <c r="IS13" i="2"/>
  <c r="IS15" i="2"/>
  <c r="IS20" i="2"/>
  <c r="IS11" i="2"/>
  <c r="IS14" i="2"/>
  <c r="IV14" i="2" s="1"/>
  <c r="F19" i="1"/>
  <c r="GM25" i="2"/>
  <c r="IG21" i="1"/>
  <c r="LQ21" i="1" s="1"/>
  <c r="KB21" i="1"/>
  <c r="JF24" i="1"/>
  <c r="AA11" i="1"/>
  <c r="AA12" i="1"/>
  <c r="KB15" i="1"/>
  <c r="IG15" i="1"/>
  <c r="LQ15" i="1" s="1"/>
  <c r="J15" i="1"/>
  <c r="AU6" i="2"/>
  <c r="IG23" i="1"/>
  <c r="LQ23" i="1" s="1"/>
  <c r="KB23" i="1"/>
  <c r="IR25" i="1"/>
  <c r="IZ25" i="1"/>
  <c r="F25" i="1"/>
  <c r="CI23" i="1" s="1"/>
  <c r="CL23" i="1" s="1"/>
  <c r="CM23" i="1" s="1"/>
  <c r="H25" i="1"/>
  <c r="H19" i="1"/>
  <c r="IN7" i="1"/>
  <c r="HW7" i="1"/>
  <c r="HY7" i="1" s="1"/>
  <c r="L9" i="1"/>
  <c r="IR10" i="1"/>
  <c r="JD10" i="1"/>
  <c r="IZ10" i="1"/>
  <c r="J17" i="1"/>
  <c r="CI13" i="1"/>
  <c r="CL13" i="1" s="1"/>
  <c r="CM13" i="1" s="1"/>
  <c r="AH9" i="1"/>
  <c r="O13" i="2"/>
  <c r="HA9" i="1"/>
  <c r="O19" i="2"/>
  <c r="O20" i="2"/>
  <c r="JI29" i="2"/>
  <c r="KG26" i="1"/>
  <c r="IZ23" i="1"/>
  <c r="IX23" i="1"/>
  <c r="JD23" i="1"/>
  <c r="IR23" i="1"/>
  <c r="JB23" i="1"/>
  <c r="IG25" i="1"/>
  <c r="LQ25" i="1" s="1"/>
  <c r="KB25" i="1"/>
  <c r="JF18" i="1"/>
  <c r="KD26" i="1"/>
  <c r="IA27" i="1"/>
  <c r="K8" i="1"/>
  <c r="H24" i="1"/>
  <c r="I15" i="1" s="1"/>
  <c r="KJ18" i="1"/>
  <c r="G8" i="1"/>
  <c r="CJ8" i="1" s="1"/>
  <c r="CK8" i="1" s="1"/>
  <c r="CI8" i="1"/>
  <c r="CL8" i="1" s="1"/>
  <c r="CM8" i="1" s="1"/>
  <c r="H14" i="1"/>
  <c r="CI16" i="1"/>
  <c r="CL16" i="1" s="1"/>
  <c r="CM16" i="1" s="1"/>
  <c r="AH12" i="1"/>
  <c r="HW16" i="1"/>
  <c r="HY16" i="1" s="1"/>
  <c r="IN16" i="1"/>
  <c r="HM26" i="1"/>
  <c r="IM26" i="1" s="1"/>
  <c r="JF14" i="1"/>
  <c r="J16" i="1"/>
  <c r="CI15" i="1"/>
  <c r="CL15" i="1" s="1"/>
  <c r="CM15" i="1" s="1"/>
  <c r="G16" i="1"/>
  <c r="CJ15" i="1" s="1"/>
  <c r="CK15" i="1" s="1"/>
  <c r="AJ9" i="1"/>
  <c r="O18" i="2"/>
  <c r="AU20" i="2"/>
  <c r="AU9" i="2"/>
  <c r="AU13" i="2"/>
  <c r="IN26" i="1"/>
  <c r="HW26" i="1"/>
  <c r="IF26" i="1"/>
  <c r="GZ9" i="1"/>
  <c r="LP26" i="1"/>
  <c r="LV6" i="1"/>
  <c r="JM26" i="1"/>
  <c r="K25" i="1" s="1"/>
  <c r="IG19" i="1"/>
  <c r="LQ19" i="1" s="1"/>
  <c r="KB19" i="1"/>
  <c r="GX9" i="1"/>
  <c r="JF12" i="1"/>
  <c r="O12" i="2"/>
  <c r="FW38" i="1"/>
  <c r="JN26" i="1"/>
  <c r="JQ7" i="1"/>
  <c r="KQ8" i="1" s="1"/>
  <c r="KZ8" i="1" s="1"/>
  <c r="KZ27" i="1" s="1"/>
  <c r="GO13" i="1"/>
  <c r="HB24" i="2"/>
  <c r="IT24" i="2"/>
  <c r="HT24" i="2"/>
  <c r="IS22" i="2"/>
  <c r="HS29" i="2"/>
  <c r="IK4" i="2" s="1"/>
  <c r="IU5" i="2" s="1"/>
  <c r="KE26" i="1"/>
  <c r="AU26" i="2"/>
  <c r="O23" i="2"/>
  <c r="JF22" i="1"/>
  <c r="JF19" i="1"/>
  <c r="JF15" i="1"/>
  <c r="JF13" i="1"/>
  <c r="IT26" i="1"/>
  <c r="KX7" i="1"/>
  <c r="FK7" i="1"/>
  <c r="FM7" i="1" s="1"/>
  <c r="AU11" i="2"/>
  <c r="HB7" i="1"/>
  <c r="GY9" i="1"/>
  <c r="JE26" i="1"/>
  <c r="AH13" i="1"/>
  <c r="F24" i="1"/>
  <c r="G17" i="1" s="1"/>
  <c r="CJ16" i="1" s="1"/>
  <c r="CK16" i="1" s="1"/>
  <c r="IN9" i="1"/>
  <c r="HW9" i="1"/>
  <c r="HY9" i="1" s="1"/>
  <c r="G15" i="1"/>
  <c r="CJ14" i="1" s="1"/>
  <c r="CK14" i="1" s="1"/>
  <c r="CI14" i="1"/>
  <c r="CL14" i="1" s="1"/>
  <c r="CM14" i="1" s="1"/>
  <c r="AI9" i="1"/>
  <c r="LS26" i="1"/>
  <c r="IN8" i="1"/>
  <c r="HW8" i="1"/>
  <c r="HY8" i="1" s="1"/>
  <c r="GQ29" i="2"/>
  <c r="GZ4" i="2"/>
  <c r="HB25" i="2"/>
  <c r="IS25" i="2"/>
  <c r="JO26" i="1"/>
  <c r="JR26" i="1" s="1"/>
  <c r="JP6" i="1" s="1"/>
  <c r="JR6" i="1" s="1"/>
  <c r="KR7" i="1" s="1"/>
  <c r="IG14" i="1"/>
  <c r="LQ14" i="1" s="1"/>
  <c r="KB14" i="1"/>
  <c r="KJ10" i="1"/>
  <c r="GB24" i="2"/>
  <c r="GP24" i="2" s="1"/>
  <c r="EX24" i="2"/>
  <c r="GN24" i="2" s="1"/>
  <c r="EA24" i="2"/>
  <c r="GM24" i="2" s="1"/>
  <c r="AZ24" i="2"/>
  <c r="GI24" i="2" s="1"/>
  <c r="DR24" i="2"/>
  <c r="GL24" i="2" s="1"/>
  <c r="BS24" i="2"/>
  <c r="GJ24" i="2" s="1"/>
  <c r="AU24" i="2"/>
  <c r="FM24" i="2"/>
  <c r="GO24" i="2" s="1"/>
  <c r="CQ24" i="2"/>
  <c r="GK24" i="2" s="1"/>
  <c r="AU22" i="2"/>
  <c r="IN17" i="1"/>
  <c r="HW17" i="1"/>
  <c r="HY17" i="1" s="1"/>
  <c r="IP25" i="1"/>
  <c r="L17" i="1"/>
  <c r="M17" i="1"/>
  <c r="IG11" i="1"/>
  <c r="LQ11" i="1" s="1"/>
  <c r="KB11" i="1"/>
  <c r="JB11" i="1"/>
  <c r="IZ11" i="1"/>
  <c r="HZ4" i="1"/>
  <c r="IB4" i="1" s="1"/>
  <c r="ID4" i="1" s="1"/>
  <c r="JC4" i="1"/>
  <c r="F18" i="1"/>
  <c r="FX3" i="1"/>
  <c r="GL3" i="1" s="1"/>
  <c r="GY3" i="1" s="1"/>
  <c r="FG3" i="1"/>
  <c r="JD11" i="1"/>
  <c r="FL6" i="1"/>
  <c r="FM6" i="1" s="1"/>
  <c r="AI13" i="1"/>
  <c r="G10" i="1"/>
  <c r="CJ10" i="1" s="1"/>
  <c r="CK10" i="1" s="1"/>
  <c r="CI10" i="1"/>
  <c r="CL10" i="1" s="1"/>
  <c r="CM10" i="1" s="1"/>
  <c r="JF20" i="1"/>
  <c r="IY25" i="2"/>
  <c r="JB25" i="2" s="1"/>
  <c r="O27" i="2"/>
  <c r="L29" i="2"/>
  <c r="M4" i="2" s="1"/>
  <c r="O4" i="2"/>
  <c r="JF21" i="1"/>
  <c r="IG13" i="1"/>
  <c r="LQ13" i="1" s="1"/>
  <c r="KB13" i="1"/>
  <c r="IN6" i="1"/>
  <c r="HW6" i="1"/>
  <c r="HY6" i="1" s="1"/>
  <c r="H18" i="1"/>
  <c r="FT3" i="1"/>
  <c r="GH3" i="1" s="1"/>
  <c r="GU3" i="1" s="1"/>
  <c r="FC3" i="1"/>
  <c r="AI12" i="1"/>
  <c r="IS7" i="2"/>
  <c r="IG22" i="1"/>
  <c r="LQ22" i="1" s="1"/>
  <c r="KB22" i="1"/>
  <c r="JP17" i="1"/>
  <c r="JR17" i="1" s="1"/>
  <c r="KR18" i="1" s="1"/>
  <c r="O24" i="2"/>
  <c r="O5" i="2"/>
  <c r="KI27" i="1"/>
  <c r="KJ24" i="1"/>
  <c r="LV23" i="1"/>
  <c r="FW20" i="1"/>
  <c r="JP8" i="1"/>
  <c r="JR8" i="1" s="1"/>
  <c r="KR9" i="1" s="1"/>
  <c r="H8" i="1"/>
  <c r="KB12" i="1"/>
  <c r="IG12" i="1"/>
  <c r="LQ12" i="1" s="1"/>
  <c r="IU10" i="2" l="1"/>
  <c r="IW10" i="2" s="1"/>
  <c r="IU12" i="2"/>
  <c r="IW12" i="2" s="1"/>
  <c r="IU28" i="2"/>
  <c r="IW28" i="2" s="1"/>
  <c r="IU21" i="2"/>
  <c r="IW21" i="2" s="1"/>
  <c r="IU8" i="2"/>
  <c r="IW8" i="2" s="1"/>
  <c r="M27" i="2"/>
  <c r="IU27" i="2"/>
  <c r="IW27" i="2" s="1"/>
  <c r="IU9" i="2"/>
  <c r="IW9" i="2" s="1"/>
  <c r="IV10" i="2"/>
  <c r="IV12" i="2"/>
  <c r="IV28" i="2"/>
  <c r="AJ8" i="1"/>
  <c r="CI7" i="1"/>
  <c r="CL7" i="1" s="1"/>
  <c r="CM7" i="1" s="1"/>
  <c r="G7" i="1"/>
  <c r="CJ7" i="1" s="1"/>
  <c r="CK7" i="1" s="1"/>
  <c r="JP10" i="1"/>
  <c r="JR10" i="1" s="1"/>
  <c r="KR11" i="1" s="1"/>
  <c r="LF11" i="1" s="1"/>
  <c r="JP13" i="1"/>
  <c r="JR13" i="1" s="1"/>
  <c r="KR14" i="1" s="1"/>
  <c r="LB14" i="1" s="1"/>
  <c r="BP4" i="2"/>
  <c r="ET4" i="2"/>
  <c r="DN4" i="2"/>
  <c r="CK4" i="2"/>
  <c r="KZ28" i="1"/>
  <c r="N17" i="1"/>
  <c r="KJ11" i="1"/>
  <c r="IG17" i="1"/>
  <c r="LQ17" i="1" s="1"/>
  <c r="KB17" i="1"/>
  <c r="HW24" i="2"/>
  <c r="HV24" i="2"/>
  <c r="JG12" i="1"/>
  <c r="LT12" i="1"/>
  <c r="LW12" i="1" s="1"/>
  <c r="LI13" i="1"/>
  <c r="M13" i="2"/>
  <c r="KJ15" i="1"/>
  <c r="G9" i="1"/>
  <c r="CJ9" i="1" s="1"/>
  <c r="CK9" i="1" s="1"/>
  <c r="F12" i="1"/>
  <c r="CI9" i="1"/>
  <c r="CL9" i="1" s="1"/>
  <c r="CM9" i="1" s="1"/>
  <c r="KJ12" i="1"/>
  <c r="LB11" i="1"/>
  <c r="KE27" i="1"/>
  <c r="N8" i="1"/>
  <c r="KE9" i="1"/>
  <c r="KE13" i="1"/>
  <c r="KE14" i="1"/>
  <c r="KE10" i="1"/>
  <c r="KE24" i="1"/>
  <c r="KE11" i="1"/>
  <c r="KE18" i="1"/>
  <c r="KE20" i="1"/>
  <c r="KE21" i="1"/>
  <c r="KE19" i="1"/>
  <c r="KE12" i="1"/>
  <c r="KE15" i="1"/>
  <c r="KE25" i="1"/>
  <c r="KE23" i="1"/>
  <c r="KE6" i="1"/>
  <c r="KE7" i="1"/>
  <c r="KE22" i="1"/>
  <c r="KE8" i="1"/>
  <c r="KE17" i="1"/>
  <c r="KE16" i="1"/>
  <c r="AJ12" i="1"/>
  <c r="J19" i="1"/>
  <c r="I19" i="1"/>
  <c r="J8" i="1"/>
  <c r="I8" i="1"/>
  <c r="JG21" i="1"/>
  <c r="LT21" i="1"/>
  <c r="LI22" i="1"/>
  <c r="JB17" i="1"/>
  <c r="LF18" i="1" s="1"/>
  <c r="IZ17" i="1"/>
  <c r="LD18" i="1" s="1"/>
  <c r="IR17" i="1"/>
  <c r="KV18" i="1" s="1"/>
  <c r="JD17" i="1"/>
  <c r="LH18" i="1" s="1"/>
  <c r="IP17" i="1"/>
  <c r="IX17" i="1"/>
  <c r="LB18" i="1" s="1"/>
  <c r="LI16" i="1"/>
  <c r="JG15" i="1"/>
  <c r="LT15" i="1"/>
  <c r="LW15" i="1" s="1"/>
  <c r="IW5" i="2"/>
  <c r="IV5" i="2"/>
  <c r="IY24" i="2"/>
  <c r="JB24" i="2" s="1"/>
  <c r="H21" i="1"/>
  <c r="J14" i="1"/>
  <c r="I14" i="1"/>
  <c r="JP19" i="1"/>
  <c r="JR19" i="1" s="1"/>
  <c r="JP23" i="1"/>
  <c r="JR23" i="1" s="1"/>
  <c r="KR27" i="1"/>
  <c r="JP11" i="1"/>
  <c r="JR11" i="1" s="1"/>
  <c r="JP18" i="1"/>
  <c r="JR18" i="1" s="1"/>
  <c r="JP15" i="1"/>
  <c r="JR15" i="1" s="1"/>
  <c r="JP21" i="1"/>
  <c r="JR21" i="1" s="1"/>
  <c r="JP20" i="1"/>
  <c r="JR20" i="1" s="1"/>
  <c r="JP24" i="1"/>
  <c r="JR24" i="1" s="1"/>
  <c r="JP22" i="1"/>
  <c r="JR22" i="1" s="1"/>
  <c r="JP12" i="1"/>
  <c r="JR12" i="1" s="1"/>
  <c r="JP14" i="1"/>
  <c r="JR14" i="1" s="1"/>
  <c r="GZ29" i="2"/>
  <c r="IS4" i="2"/>
  <c r="HB9" i="1"/>
  <c r="JP25" i="1"/>
  <c r="JR25" i="1" s="1"/>
  <c r="KR26" i="1" s="1"/>
  <c r="JP16" i="1"/>
  <c r="JR16" i="1" s="1"/>
  <c r="KR17" i="1" s="1"/>
  <c r="KG27" i="1"/>
  <c r="N9" i="1"/>
  <c r="KG24" i="1"/>
  <c r="KG25" i="1"/>
  <c r="KG20" i="1"/>
  <c r="KG17" i="1"/>
  <c r="KG7" i="1"/>
  <c r="KG18" i="1"/>
  <c r="KG22" i="1"/>
  <c r="KG12" i="1"/>
  <c r="KG11" i="1"/>
  <c r="KG6" i="1"/>
  <c r="KG16" i="1"/>
  <c r="KG8" i="1"/>
  <c r="KG14" i="1"/>
  <c r="KG19" i="1"/>
  <c r="KG13" i="1"/>
  <c r="KG15" i="1"/>
  <c r="KG23" i="1"/>
  <c r="KG21" i="1"/>
  <c r="KG9" i="1"/>
  <c r="KG10" i="1"/>
  <c r="LD11" i="1"/>
  <c r="IU11" i="2"/>
  <c r="IW11" i="2" s="1"/>
  <c r="LI20" i="1"/>
  <c r="LT19" i="1"/>
  <c r="LW19" i="1" s="1"/>
  <c r="JG19" i="1"/>
  <c r="IU22" i="2"/>
  <c r="IW22" i="2" s="1"/>
  <c r="H10" i="1"/>
  <c r="KJ19" i="1"/>
  <c r="LD14" i="1"/>
  <c r="JD16" i="1"/>
  <c r="IZ16" i="1"/>
  <c r="LD17" i="1" s="1"/>
  <c r="JB16" i="1"/>
  <c r="IR16" i="1"/>
  <c r="KV17" i="1" s="1"/>
  <c r="IP16" i="1"/>
  <c r="IX16" i="1"/>
  <c r="LB17" i="1" s="1"/>
  <c r="JG18" i="1"/>
  <c r="LI19" i="1"/>
  <c r="LT18" i="1"/>
  <c r="LW18" i="1" s="1"/>
  <c r="G19" i="1"/>
  <c r="KV11" i="1"/>
  <c r="IU20" i="2"/>
  <c r="IW20" i="2" s="1"/>
  <c r="IU13" i="2"/>
  <c r="IW13" i="2" s="1"/>
  <c r="KV14" i="1"/>
  <c r="KJ25" i="1"/>
  <c r="J18" i="1"/>
  <c r="I18" i="1"/>
  <c r="O29" i="2"/>
  <c r="P27" i="2" s="1"/>
  <c r="P4" i="2"/>
  <c r="BP27" i="2"/>
  <c r="ET27" i="2"/>
  <c r="CK27" i="2"/>
  <c r="DN27" i="2"/>
  <c r="KB9" i="1"/>
  <c r="IG9" i="1"/>
  <c r="LQ9" i="1" s="1"/>
  <c r="JP9" i="1"/>
  <c r="JR9" i="1" s="1"/>
  <c r="KR10" i="1" s="1"/>
  <c r="JG22" i="1"/>
  <c r="LI23" i="1"/>
  <c r="LT22" i="1"/>
  <c r="LW22" i="1" s="1"/>
  <c r="MJ35" i="1"/>
  <c r="N25" i="1"/>
  <c r="JQ26" i="1"/>
  <c r="KQ27" i="1" s="1"/>
  <c r="M19" i="2"/>
  <c r="IV8" i="2"/>
  <c r="HY26" i="1"/>
  <c r="KB6" i="1"/>
  <c r="IG6" i="1"/>
  <c r="LQ6" i="1" s="1"/>
  <c r="IZ25" i="2"/>
  <c r="JJ25" i="2"/>
  <c r="JP7" i="1"/>
  <c r="JR7" i="1" s="1"/>
  <c r="KR8" i="1" s="1"/>
  <c r="KX8" i="1"/>
  <c r="KX27" i="1" s="1"/>
  <c r="JB9" i="1"/>
  <c r="LF10" i="1" s="1"/>
  <c r="IZ9" i="1"/>
  <c r="IR9" i="1"/>
  <c r="IX9" i="1"/>
  <c r="JD9" i="1"/>
  <c r="IP9" i="1"/>
  <c r="IU6" i="2"/>
  <c r="HU29" i="2"/>
  <c r="I16" i="1"/>
  <c r="LI25" i="1"/>
  <c r="JG24" i="1"/>
  <c r="LT24" i="1"/>
  <c r="LW24" i="1" s="1"/>
  <c r="IU15" i="2"/>
  <c r="IW15" i="2" s="1"/>
  <c r="IU25" i="2"/>
  <c r="IW25" i="2" s="1"/>
  <c r="JD8" i="1"/>
  <c r="LH9" i="1" s="1"/>
  <c r="IZ8" i="1"/>
  <c r="LD9" i="1" s="1"/>
  <c r="JB8" i="1"/>
  <c r="LF9" i="1" s="1"/>
  <c r="IP8" i="1"/>
  <c r="IX8" i="1"/>
  <c r="LB9" i="1" s="1"/>
  <c r="IR8" i="1"/>
  <c r="KV9" i="1" s="1"/>
  <c r="CI22" i="1"/>
  <c r="CL22" i="1" s="1"/>
  <c r="CM22" i="1" s="1"/>
  <c r="R24" i="1"/>
  <c r="Q24" i="1"/>
  <c r="AI8" i="1"/>
  <c r="AA8" i="1"/>
  <c r="Z8" i="1"/>
  <c r="X8" i="1"/>
  <c r="G11" i="1"/>
  <c r="R11" i="1" s="1"/>
  <c r="Y8" i="1"/>
  <c r="P23" i="2"/>
  <c r="F20" i="1"/>
  <c r="F21" i="1" s="1"/>
  <c r="AU29" i="2"/>
  <c r="AL7" i="2" s="1"/>
  <c r="AS29" i="2" s="1"/>
  <c r="M8" i="1"/>
  <c r="L8" i="1"/>
  <c r="K7" i="1"/>
  <c r="G14" i="1"/>
  <c r="CJ13" i="1" s="1"/>
  <c r="CK13" i="1" s="1"/>
  <c r="AH8" i="1"/>
  <c r="KJ21" i="1"/>
  <c r="IU19" i="2"/>
  <c r="P24" i="2"/>
  <c r="KJ22" i="1"/>
  <c r="JD6" i="1"/>
  <c r="IR6" i="1"/>
  <c r="JB6" i="1"/>
  <c r="IX6" i="1"/>
  <c r="IZ6" i="1"/>
  <c r="IP6" i="1"/>
  <c r="M25" i="2"/>
  <c r="M22" i="2"/>
  <c r="M11" i="2"/>
  <c r="M10" i="2"/>
  <c r="M7" i="2"/>
  <c r="M14" i="2"/>
  <c r="M16" i="2"/>
  <c r="M28" i="2"/>
  <c r="M21" i="2"/>
  <c r="M6" i="2"/>
  <c r="M15" i="2"/>
  <c r="M17" i="2"/>
  <c r="M8" i="2"/>
  <c r="M26" i="2"/>
  <c r="M9" i="2"/>
  <c r="M23" i="2"/>
  <c r="JF11" i="1"/>
  <c r="KJ14" i="1"/>
  <c r="M18" i="2"/>
  <c r="LF14" i="1"/>
  <c r="LW21" i="1"/>
  <c r="IG16" i="1"/>
  <c r="LQ16" i="1" s="1"/>
  <c r="KB16" i="1"/>
  <c r="LT20" i="1"/>
  <c r="LW20" i="1" s="1"/>
  <c r="JG20" i="1"/>
  <c r="LI21" i="1"/>
  <c r="IG8" i="1"/>
  <c r="LQ8" i="1" s="1"/>
  <c r="KB8" i="1"/>
  <c r="LV26" i="1"/>
  <c r="Z11" i="1"/>
  <c r="I11" i="1"/>
  <c r="X11" i="1"/>
  <c r="I20" i="1"/>
  <c r="Y11" i="1"/>
  <c r="M5" i="2"/>
  <c r="M24" i="2"/>
  <c r="KJ13" i="1"/>
  <c r="KW28" i="1"/>
  <c r="IT27" i="1"/>
  <c r="AJ15" i="1" s="1"/>
  <c r="AJ17" i="1" s="1"/>
  <c r="K16" i="1"/>
  <c r="M12" i="2"/>
  <c r="IU7" i="2"/>
  <c r="IW7" i="2" s="1"/>
  <c r="IV7" i="2"/>
  <c r="IU18" i="2"/>
  <c r="JF25" i="1"/>
  <c r="LW14" i="1"/>
  <c r="LI14" i="1"/>
  <c r="LT13" i="1"/>
  <c r="LW13" i="1" s="1"/>
  <c r="JG13" i="1"/>
  <c r="P12" i="2"/>
  <c r="P18" i="2"/>
  <c r="LI15" i="1"/>
  <c r="JG14" i="1"/>
  <c r="LT14" i="1"/>
  <c r="M20" i="2"/>
  <c r="KB7" i="1"/>
  <c r="IG7" i="1"/>
  <c r="LQ7" i="1" s="1"/>
  <c r="IU24" i="2"/>
  <c r="G18" i="1"/>
  <c r="CJ17" i="1" s="1"/>
  <c r="CK17" i="1" s="1"/>
  <c r="CI17" i="1"/>
  <c r="CL17" i="1" s="1"/>
  <c r="CM17" i="1" s="1"/>
  <c r="JF10" i="1"/>
  <c r="KT14" i="1"/>
  <c r="JF23" i="1"/>
  <c r="P20" i="2"/>
  <c r="I17" i="1"/>
  <c r="JD7" i="1"/>
  <c r="LH8" i="1" s="1"/>
  <c r="IR7" i="1"/>
  <c r="KV8" i="1" s="1"/>
  <c r="JB7" i="1"/>
  <c r="LF8" i="1" s="1"/>
  <c r="IP7" i="1"/>
  <c r="IX7" i="1"/>
  <c r="LB8" i="1" s="1"/>
  <c r="IZ7" i="1"/>
  <c r="LD8" i="1" s="1"/>
  <c r="KJ23" i="1"/>
  <c r="IV21" i="2"/>
  <c r="IV27" i="2" l="1"/>
  <c r="IV9" i="2"/>
  <c r="KT11" i="1"/>
  <c r="IV11" i="2"/>
  <c r="LH10" i="1"/>
  <c r="LH14" i="1"/>
  <c r="KV10" i="1"/>
  <c r="LH11" i="1"/>
  <c r="LJ11" i="1" s="1"/>
  <c r="IX26" i="1"/>
  <c r="LB7" i="1"/>
  <c r="LB26" i="1"/>
  <c r="LH26" i="1"/>
  <c r="LF26" i="1"/>
  <c r="IV25" i="2"/>
  <c r="JA25" i="2" s="1"/>
  <c r="IW6" i="2"/>
  <c r="IV6" i="2"/>
  <c r="KR12" i="1"/>
  <c r="KT12" i="1"/>
  <c r="IZ24" i="2"/>
  <c r="JJ24" i="2"/>
  <c r="CK18" i="2"/>
  <c r="DN18" i="2"/>
  <c r="ET18" i="2"/>
  <c r="BP18" i="2"/>
  <c r="JB26" i="1"/>
  <c r="LF7" i="1"/>
  <c r="KT8" i="1"/>
  <c r="LJ8" i="1" s="1"/>
  <c r="JF7" i="1"/>
  <c r="CK12" i="2"/>
  <c r="BP12" i="2"/>
  <c r="DN12" i="2"/>
  <c r="ET12" i="2"/>
  <c r="ET24" i="2"/>
  <c r="CK24" i="2"/>
  <c r="BP24" i="2"/>
  <c r="DN24" i="2"/>
  <c r="BP16" i="2"/>
  <c r="ET16" i="2"/>
  <c r="DN16" i="2"/>
  <c r="CK16" i="2"/>
  <c r="JD26" i="1"/>
  <c r="LH7" i="1"/>
  <c r="IV13" i="2"/>
  <c r="IV22" i="2"/>
  <c r="DN13" i="2"/>
  <c r="CK13" i="2"/>
  <c r="ET13" i="2"/>
  <c r="BP13" i="2"/>
  <c r="L7" i="1"/>
  <c r="L16" i="1"/>
  <c r="M16" i="1"/>
  <c r="DN5" i="2"/>
  <c r="BP5" i="2"/>
  <c r="ET5" i="2"/>
  <c r="CK5" i="2"/>
  <c r="LI12" i="1"/>
  <c r="LT11" i="1"/>
  <c r="LW11" i="1" s="1"/>
  <c r="JG11" i="1"/>
  <c r="ET14" i="2"/>
  <c r="BP14" i="2"/>
  <c r="DN14" i="2"/>
  <c r="CK14" i="2"/>
  <c r="JF9" i="1"/>
  <c r="KT10" i="1"/>
  <c r="LQ26" i="1"/>
  <c r="IV20" i="2"/>
  <c r="JF16" i="1"/>
  <c r="KT17" i="1"/>
  <c r="IS29" i="2"/>
  <c r="IU4" i="2"/>
  <c r="IV4" i="2" s="1"/>
  <c r="KR24" i="1"/>
  <c r="KT24" i="1"/>
  <c r="MJ17" i="1"/>
  <c r="P17" i="1"/>
  <c r="Q17" i="1"/>
  <c r="O17" i="1"/>
  <c r="R17" i="1" s="1"/>
  <c r="KR16" i="1"/>
  <c r="KT16" i="1"/>
  <c r="BP21" i="2"/>
  <c r="DN21" i="2"/>
  <c r="CK21" i="2"/>
  <c r="ET21" i="2"/>
  <c r="BP28" i="2"/>
  <c r="CK28" i="2"/>
  <c r="DN28" i="2"/>
  <c r="ET28" i="2"/>
  <c r="CM12" i="2"/>
  <c r="DL12" i="2"/>
  <c r="DY12" i="2"/>
  <c r="KV26" i="1"/>
  <c r="AJ19" i="1"/>
  <c r="AJ20" i="1" s="1"/>
  <c r="AJ16" i="1"/>
  <c r="KJ16" i="1"/>
  <c r="CK23" i="2"/>
  <c r="BP23" i="2"/>
  <c r="ET23" i="2"/>
  <c r="DN23" i="2"/>
  <c r="DN10" i="2"/>
  <c r="CK10" i="2"/>
  <c r="BP10" i="2"/>
  <c r="ET10" i="2"/>
  <c r="DL24" i="2"/>
  <c r="DY24" i="2"/>
  <c r="CM24" i="2"/>
  <c r="IV15" i="2"/>
  <c r="LB10" i="1"/>
  <c r="HY27" i="1"/>
  <c r="IG26" i="1"/>
  <c r="K10" i="1"/>
  <c r="KJ9" i="1"/>
  <c r="P22" i="2"/>
  <c r="P25" i="2"/>
  <c r="P11" i="2"/>
  <c r="P7" i="2"/>
  <c r="P17" i="2"/>
  <c r="P16" i="2"/>
  <c r="P9" i="2"/>
  <c r="P21" i="2"/>
  <c r="P6" i="2"/>
  <c r="P10" i="2"/>
  <c r="P26" i="2"/>
  <c r="P8" i="2"/>
  <c r="P28" i="2"/>
  <c r="P15" i="2"/>
  <c r="P14" i="2"/>
  <c r="LF17" i="1"/>
  <c r="O9" i="1"/>
  <c r="R9" i="1" s="1"/>
  <c r="MJ9" i="1"/>
  <c r="Q9" i="1"/>
  <c r="P9" i="1"/>
  <c r="KR15" i="1"/>
  <c r="KT15" i="1"/>
  <c r="J10" i="1"/>
  <c r="I10" i="1"/>
  <c r="CM18" i="2"/>
  <c r="DL18" i="2"/>
  <c r="DY18" i="2"/>
  <c r="IR26" i="1"/>
  <c r="KV7" i="1"/>
  <c r="DL27" i="2"/>
  <c r="DY27" i="2"/>
  <c r="CM27" i="2"/>
  <c r="KB26" i="1"/>
  <c r="KJ6" i="1"/>
  <c r="DL4" i="2"/>
  <c r="CM4" i="2"/>
  <c r="DY4" i="2"/>
  <c r="BP9" i="2"/>
  <c r="DN9" i="2"/>
  <c r="ET9" i="2"/>
  <c r="CK9" i="2"/>
  <c r="DN11" i="2"/>
  <c r="BP11" i="2"/>
  <c r="ET11" i="2"/>
  <c r="CK11" i="2"/>
  <c r="G12" i="1"/>
  <c r="CJ11" i="1" s="1"/>
  <c r="CK11" i="1" s="1"/>
  <c r="CI11" i="1"/>
  <c r="CL11" i="1" s="1"/>
  <c r="CM11" i="1" s="1"/>
  <c r="F22" i="1"/>
  <c r="CM23" i="2"/>
  <c r="DL23" i="2"/>
  <c r="DY23" i="2"/>
  <c r="LD10" i="1"/>
  <c r="ET19" i="2"/>
  <c r="DN19" i="2"/>
  <c r="BP19" i="2"/>
  <c r="CK19" i="2"/>
  <c r="LH17" i="1"/>
  <c r="KR23" i="1"/>
  <c r="KT23" i="1"/>
  <c r="P13" i="2"/>
  <c r="KJ8" i="1"/>
  <c r="JM25" i="2"/>
  <c r="JL25" i="2"/>
  <c r="KR19" i="1"/>
  <c r="KT19" i="1"/>
  <c r="IW24" i="2"/>
  <c r="IV24" i="2"/>
  <c r="JA24" i="2" s="1"/>
  <c r="G20" i="1"/>
  <c r="CJ18" i="1" s="1"/>
  <c r="CK18" i="1" s="1"/>
  <c r="CI18" i="1"/>
  <c r="CL18" i="1" s="1"/>
  <c r="CM18" i="1" s="1"/>
  <c r="J20" i="1"/>
  <c r="KJ7" i="1"/>
  <c r="BP22" i="2"/>
  <c r="ET22" i="2"/>
  <c r="CK22" i="2"/>
  <c r="DN22" i="2"/>
  <c r="JG25" i="1"/>
  <c r="LT25" i="1"/>
  <c r="LW25" i="1" s="1"/>
  <c r="LI26" i="1"/>
  <c r="LJ14" i="1"/>
  <c r="KT26" i="1"/>
  <c r="LD26" i="1"/>
  <c r="ET17" i="2"/>
  <c r="BP17" i="2"/>
  <c r="CK17" i="2"/>
  <c r="DN17" i="2"/>
  <c r="IP26" i="1"/>
  <c r="JF6" i="1"/>
  <c r="KT7" i="1"/>
  <c r="P19" i="2"/>
  <c r="KR21" i="1"/>
  <c r="KT21" i="1"/>
  <c r="N7" i="1"/>
  <c r="O8" i="1"/>
  <c r="R8" i="1" s="1"/>
  <c r="MJ8" i="1"/>
  <c r="Q8" i="1"/>
  <c r="P8" i="1"/>
  <c r="DN6" i="2"/>
  <c r="CK6" i="2"/>
  <c r="ET6" i="2"/>
  <c r="BP6" i="2"/>
  <c r="MU35" i="1"/>
  <c r="MN35" i="1"/>
  <c r="KT18" i="1"/>
  <c r="LJ18" i="1" s="1"/>
  <c r="JF17" i="1"/>
  <c r="CI19" i="1"/>
  <c r="CL19" i="1" s="1"/>
  <c r="CM19" i="1" s="1"/>
  <c r="G21" i="1"/>
  <c r="CJ19" i="1" s="1"/>
  <c r="CK19" i="1" s="1"/>
  <c r="ET7" i="2"/>
  <c r="BP7" i="2"/>
  <c r="CK7" i="2"/>
  <c r="DN7" i="2"/>
  <c r="KR20" i="1"/>
  <c r="KT20" i="1"/>
  <c r="IW19" i="2"/>
  <c r="IV19" i="2"/>
  <c r="KR13" i="1"/>
  <c r="KT13" i="1"/>
  <c r="KJ17" i="1"/>
  <c r="DL20" i="2"/>
  <c r="CM20" i="2"/>
  <c r="DY20" i="2"/>
  <c r="ET26" i="2"/>
  <c r="CK26" i="2"/>
  <c r="BP26" i="2"/>
  <c r="DN26" i="2"/>
  <c r="LT23" i="1"/>
  <c r="LW23" i="1" s="1"/>
  <c r="LI24" i="1"/>
  <c r="JG23" i="1"/>
  <c r="DN20" i="2"/>
  <c r="ET20" i="2"/>
  <c r="CK20" i="2"/>
  <c r="BP20" i="2"/>
  <c r="DN8" i="2"/>
  <c r="BP8" i="2"/>
  <c r="ET8" i="2"/>
  <c r="CK8" i="2"/>
  <c r="BP25" i="2"/>
  <c r="ET25" i="2"/>
  <c r="DN25" i="2"/>
  <c r="CK25" i="2"/>
  <c r="KX28" i="1"/>
  <c r="N16" i="1"/>
  <c r="KT9" i="1"/>
  <c r="LJ9" i="1" s="1"/>
  <c r="JF8" i="1"/>
  <c r="KR25" i="1"/>
  <c r="KT25" i="1"/>
  <c r="JG10" i="1"/>
  <c r="LT10" i="1"/>
  <c r="LW10" i="1" s="1"/>
  <c r="LI11" i="1"/>
  <c r="IW18" i="2"/>
  <c r="IV18" i="2"/>
  <c r="P5" i="2"/>
  <c r="ET15" i="2"/>
  <c r="BP15" i="2"/>
  <c r="CK15" i="2"/>
  <c r="DN15" i="2"/>
  <c r="IZ26" i="1"/>
  <c r="LD7" i="1"/>
  <c r="R25" i="1"/>
  <c r="Q25" i="1"/>
  <c r="KR22" i="1"/>
  <c r="KT22" i="1"/>
  <c r="J21" i="1"/>
  <c r="I21" i="1"/>
  <c r="H7" i="1"/>
  <c r="M7" i="1" s="1"/>
  <c r="M29" i="2"/>
  <c r="P29" i="2" l="1"/>
  <c r="LJ17" i="1"/>
  <c r="AJ21" i="1"/>
  <c r="DL16" i="2"/>
  <c r="CM16" i="2"/>
  <c r="DY16" i="2"/>
  <c r="LF24" i="1"/>
  <c r="LB24" i="1"/>
  <c r="LD24" i="1"/>
  <c r="KV24" i="1"/>
  <c r="LH24" i="1"/>
  <c r="DY17" i="2"/>
  <c r="DL17" i="2"/>
  <c r="CM17" i="2"/>
  <c r="LU7" i="1"/>
  <c r="KV12" i="1"/>
  <c r="LB12" i="1"/>
  <c r="LF12" i="1"/>
  <c r="LD12" i="1"/>
  <c r="LH12" i="1"/>
  <c r="LJ12" i="1" s="1"/>
  <c r="MJ7" i="1"/>
  <c r="O7" i="1"/>
  <c r="R7" i="1" s="1"/>
  <c r="Q7" i="1"/>
  <c r="P7" i="1"/>
  <c r="LJ26" i="1"/>
  <c r="LF23" i="1"/>
  <c r="LB23" i="1"/>
  <c r="KV23" i="1"/>
  <c r="LH23" i="1"/>
  <c r="LD23" i="1"/>
  <c r="CM7" i="2"/>
  <c r="DL7" i="2"/>
  <c r="DY7" i="2"/>
  <c r="IU29" i="2"/>
  <c r="IW4" i="2"/>
  <c r="IW29" i="2" s="1"/>
  <c r="LJ21" i="1"/>
  <c r="JS13" i="1"/>
  <c r="LU13" i="1"/>
  <c r="DL14" i="2"/>
  <c r="CM14" i="2"/>
  <c r="DY14" i="2"/>
  <c r="DL11" i="2"/>
  <c r="CM11" i="2"/>
  <c r="DY11" i="2"/>
  <c r="JB27" i="1"/>
  <c r="LE28" i="1"/>
  <c r="K18" i="1"/>
  <c r="JG17" i="1"/>
  <c r="LI18" i="1"/>
  <c r="LT17" i="1"/>
  <c r="LW17" i="1" s="1"/>
  <c r="LI8" i="1"/>
  <c r="JS7" i="1" s="1"/>
  <c r="LT7" i="1"/>
  <c r="LW7" i="1" s="1"/>
  <c r="JG7" i="1"/>
  <c r="LD21" i="1"/>
  <c r="LB21" i="1"/>
  <c r="LF21" i="1"/>
  <c r="KV21" i="1"/>
  <c r="LH21" i="1"/>
  <c r="CK29" i="2"/>
  <c r="LD19" i="1"/>
  <c r="LB19" i="1"/>
  <c r="LH19" i="1"/>
  <c r="KV19" i="1"/>
  <c r="LF19" i="1"/>
  <c r="DL15" i="2"/>
  <c r="CM15" i="2"/>
  <c r="DY15" i="2"/>
  <c r="DL25" i="2"/>
  <c r="DY25" i="2"/>
  <c r="CM25" i="2"/>
  <c r="LD13" i="1"/>
  <c r="KV13" i="1"/>
  <c r="LH13" i="1"/>
  <c r="LB13" i="1"/>
  <c r="LF13" i="1"/>
  <c r="LH25" i="1"/>
  <c r="LD25" i="1"/>
  <c r="KV25" i="1"/>
  <c r="LF25" i="1"/>
  <c r="LB25" i="1"/>
  <c r="DL28" i="2"/>
  <c r="CM28" i="2"/>
  <c r="DY28" i="2"/>
  <c r="LU16" i="1"/>
  <c r="LU8" i="1"/>
  <c r="KT27" i="1"/>
  <c r="LJ7" i="1"/>
  <c r="JS10" i="1"/>
  <c r="LU10" i="1"/>
  <c r="DL8" i="2"/>
  <c r="CM8" i="2"/>
  <c r="DY8" i="2"/>
  <c r="LB16" i="1"/>
  <c r="LD16" i="1"/>
  <c r="LH16" i="1"/>
  <c r="LJ16" i="1" s="1"/>
  <c r="LF16" i="1"/>
  <c r="KV16" i="1"/>
  <c r="LI17" i="1"/>
  <c r="JS16" i="1" s="1"/>
  <c r="JG16" i="1"/>
  <c r="LT16" i="1"/>
  <c r="LW16" i="1" s="1"/>
  <c r="KV22" i="1"/>
  <c r="LD22" i="1"/>
  <c r="LB22" i="1"/>
  <c r="LF22" i="1"/>
  <c r="LH22" i="1"/>
  <c r="IZ27" i="1"/>
  <c r="LC28" i="1"/>
  <c r="ET29" i="2"/>
  <c r="MJ16" i="1"/>
  <c r="O16" i="1"/>
  <c r="R16" i="1" s="1"/>
  <c r="P16" i="1"/>
  <c r="Q16" i="1"/>
  <c r="LU17" i="1"/>
  <c r="JS17" i="1"/>
  <c r="LB20" i="1"/>
  <c r="LF20" i="1"/>
  <c r="KV20" i="1"/>
  <c r="LD20" i="1"/>
  <c r="LH20" i="1"/>
  <c r="CM19" i="2"/>
  <c r="DL19" i="2"/>
  <c r="DY19" i="2"/>
  <c r="DL22" i="2"/>
  <c r="CM22" i="2"/>
  <c r="DY22" i="2"/>
  <c r="J7" i="1"/>
  <c r="I7" i="1"/>
  <c r="H9" i="1"/>
  <c r="LT6" i="1"/>
  <c r="LI7" i="1"/>
  <c r="JG6" i="1"/>
  <c r="JF26" i="1"/>
  <c r="KS28" i="1"/>
  <c r="IP27" i="1"/>
  <c r="AH15" i="1" s="1"/>
  <c r="AH17" i="1" s="1"/>
  <c r="K14" i="1"/>
  <c r="LB15" i="1"/>
  <c r="LD15" i="1"/>
  <c r="LF15" i="1"/>
  <c r="KV15" i="1"/>
  <c r="KV27" i="1" s="1"/>
  <c r="LH15" i="1"/>
  <c r="DY10" i="2"/>
  <c r="DL10" i="2"/>
  <c r="CM10" i="2"/>
  <c r="L10" i="1"/>
  <c r="M10" i="1"/>
  <c r="K12" i="1"/>
  <c r="MU8" i="1"/>
  <c r="MV8" i="1" s="1"/>
  <c r="MW8" i="1" s="1"/>
  <c r="MM8" i="1"/>
  <c r="MK8" i="1"/>
  <c r="MD8" i="1"/>
  <c r="CM13" i="2"/>
  <c r="DL13" i="2"/>
  <c r="DY13" i="2"/>
  <c r="G22" i="1"/>
  <c r="CJ20" i="1" s="1"/>
  <c r="CK20" i="1" s="1"/>
  <c r="CI20" i="1"/>
  <c r="CL20" i="1" s="1"/>
  <c r="CM20" i="1" s="1"/>
  <c r="MU9" i="1"/>
  <c r="MV9" i="1" s="1"/>
  <c r="MW9" i="1" s="1"/>
  <c r="MK9" i="1"/>
  <c r="LJ23" i="1"/>
  <c r="CM5" i="2"/>
  <c r="DL5" i="2"/>
  <c r="DY5" i="2"/>
  <c r="BP29" i="2"/>
  <c r="DL6" i="2"/>
  <c r="CM6" i="2"/>
  <c r="DY6" i="2"/>
  <c r="IG27" i="1"/>
  <c r="JM24" i="2"/>
  <c r="JL24" i="2"/>
  <c r="IV29" i="2"/>
  <c r="JG8" i="1"/>
  <c r="LI9" i="1"/>
  <c r="JS8" i="1" s="1"/>
  <c r="LT8" i="1"/>
  <c r="LW8" i="1" s="1"/>
  <c r="KJ26" i="1"/>
  <c r="DY26" i="2"/>
  <c r="CM26" i="2"/>
  <c r="DL26" i="2"/>
  <c r="DN29" i="2"/>
  <c r="KU28" i="1"/>
  <c r="IR27" i="1"/>
  <c r="AI15" i="1" s="1"/>
  <c r="AI17" i="1" s="1"/>
  <c r="K15" i="1"/>
  <c r="DY21" i="2"/>
  <c r="DL21" i="2"/>
  <c r="CM21" i="2"/>
  <c r="C7" i="2"/>
  <c r="MM17" i="1"/>
  <c r="MN17" i="1" s="1"/>
  <c r="MU17" i="1"/>
  <c r="MV17" i="1" s="1"/>
  <c r="MW17" i="1" s="1"/>
  <c r="MK17" i="1"/>
  <c r="LJ10" i="1"/>
  <c r="CM9" i="2"/>
  <c r="DL9" i="2"/>
  <c r="DY9" i="2"/>
  <c r="LJ24" i="1"/>
  <c r="LI10" i="1"/>
  <c r="LT9" i="1"/>
  <c r="LW9" i="1" s="1"/>
  <c r="JG9" i="1"/>
  <c r="JD27" i="1"/>
  <c r="LG28" i="1"/>
  <c r="K20" i="1"/>
  <c r="LA28" i="1"/>
  <c r="IX27" i="1"/>
  <c r="K19" i="1"/>
  <c r="CM29" i="2" l="1"/>
  <c r="LD27" i="1"/>
  <c r="LJ20" i="1"/>
  <c r="LJ25" i="1"/>
  <c r="LU24" i="1" s="1"/>
  <c r="LJ22" i="1"/>
  <c r="JS21" i="1" s="1"/>
  <c r="LJ15" i="1"/>
  <c r="LU14" i="1" s="1"/>
  <c r="LF27" i="1"/>
  <c r="LJ27" i="1" s="1"/>
  <c r="LB27" i="1"/>
  <c r="LH27" i="1"/>
  <c r="LH28" i="1" s="1"/>
  <c r="LJ19" i="1"/>
  <c r="LU18" i="1" s="1"/>
  <c r="LF28" i="1"/>
  <c r="N18" i="1"/>
  <c r="KA8" i="1"/>
  <c r="KC8" i="1"/>
  <c r="KK8" i="1" s="1"/>
  <c r="LR8" i="1" s="1"/>
  <c r="LX8" i="1" s="1"/>
  <c r="KV28" i="1"/>
  <c r="N15" i="1"/>
  <c r="N20" i="1"/>
  <c r="KA7" i="1"/>
  <c r="KC7" i="1"/>
  <c r="KK7" i="1" s="1"/>
  <c r="LR7" i="1" s="1"/>
  <c r="LX7" i="1" s="1"/>
  <c r="KA16" i="1"/>
  <c r="KC16" i="1"/>
  <c r="KK16" i="1" s="1"/>
  <c r="LR16" i="1" s="1"/>
  <c r="LX16" i="1" s="1"/>
  <c r="LD28" i="1"/>
  <c r="LU15" i="1"/>
  <c r="JS15" i="1"/>
  <c r="LU19" i="1"/>
  <c r="JS19" i="1"/>
  <c r="LB28" i="1"/>
  <c r="N19" i="1"/>
  <c r="LU21" i="1"/>
  <c r="JS20" i="1"/>
  <c r="LU20" i="1"/>
  <c r="MU7" i="1"/>
  <c r="MV7" i="1" s="1"/>
  <c r="MW7" i="1" s="1"/>
  <c r="MK7" i="1"/>
  <c r="JS23" i="1"/>
  <c r="LU23" i="1"/>
  <c r="LJ13" i="1"/>
  <c r="KT28" i="1"/>
  <c r="N14" i="1"/>
  <c r="JS14" i="1"/>
  <c r="KA13" i="1"/>
  <c r="KC13" i="1"/>
  <c r="KK13" i="1" s="1"/>
  <c r="LR13" i="1" s="1"/>
  <c r="LX13" i="1" s="1"/>
  <c r="K22" i="1"/>
  <c r="M12" i="1"/>
  <c r="L12" i="1"/>
  <c r="KA17" i="1"/>
  <c r="KC17" i="1"/>
  <c r="KK17" i="1" s="1"/>
  <c r="LR17" i="1" s="1"/>
  <c r="LX17" i="1" s="1"/>
  <c r="M20" i="1"/>
  <c r="L20" i="1"/>
  <c r="K21" i="1"/>
  <c r="L14" i="1"/>
  <c r="M14" i="1"/>
  <c r="L18" i="1"/>
  <c r="M18" i="1"/>
  <c r="JG26" i="1"/>
  <c r="JF27" i="1"/>
  <c r="LI28" i="1"/>
  <c r="LU6" i="1"/>
  <c r="JS6" i="1"/>
  <c r="C6" i="2"/>
  <c r="MM16" i="1"/>
  <c r="MN16" i="1" s="1"/>
  <c r="MU16" i="1"/>
  <c r="MV16" i="1" s="1"/>
  <c r="MW16" i="1" s="1"/>
  <c r="MK16" i="1"/>
  <c r="H12" i="1"/>
  <c r="J9" i="1"/>
  <c r="I9" i="1"/>
  <c r="M9" i="1"/>
  <c r="BZ9" i="2"/>
  <c r="DL29" i="2"/>
  <c r="M15" i="1"/>
  <c r="L15" i="1"/>
  <c r="JS22" i="1"/>
  <c r="LU22" i="1"/>
  <c r="MN8" i="1"/>
  <c r="LT26" i="1"/>
  <c r="LW6" i="1"/>
  <c r="KA10" i="1"/>
  <c r="KC10" i="1"/>
  <c r="KK10" i="1" s="1"/>
  <c r="LR10" i="1" s="1"/>
  <c r="LX10" i="1" s="1"/>
  <c r="LU25" i="1"/>
  <c r="JS25" i="1"/>
  <c r="M19" i="1"/>
  <c r="L19" i="1"/>
  <c r="DY29" i="2"/>
  <c r="JS11" i="1"/>
  <c r="LU11" i="1"/>
  <c r="AH19" i="1"/>
  <c r="AH16" i="1"/>
  <c r="LU9" i="1"/>
  <c r="JS9" i="1"/>
  <c r="AI19" i="1"/>
  <c r="AI20" i="1" s="1"/>
  <c r="AI16" i="1"/>
  <c r="JS18" i="1" l="1"/>
  <c r="JS24" i="1"/>
  <c r="KA15" i="1"/>
  <c r="KC15" i="1"/>
  <c r="KK15" i="1" s="1"/>
  <c r="LR15" i="1" s="1"/>
  <c r="LX15" i="1" s="1"/>
  <c r="Q15" i="1"/>
  <c r="O15" i="1"/>
  <c r="R15" i="1" s="1"/>
  <c r="MJ15" i="1"/>
  <c r="P15" i="1"/>
  <c r="KA11" i="1"/>
  <c r="KC11" i="1"/>
  <c r="KK11" i="1" s="1"/>
  <c r="LR11" i="1" s="1"/>
  <c r="LX11" i="1" s="1"/>
  <c r="BZ7" i="2"/>
  <c r="BZ5" i="2"/>
  <c r="BZ4" i="2"/>
  <c r="BZ8" i="2"/>
  <c r="BZ6" i="2"/>
  <c r="LU12" i="1"/>
  <c r="JS12" i="1"/>
  <c r="AI21" i="1"/>
  <c r="LU26" i="1"/>
  <c r="KA21" i="1"/>
  <c r="KC21" i="1"/>
  <c r="KK21" i="1" s="1"/>
  <c r="LR21" i="1" s="1"/>
  <c r="LX21" i="1" s="1"/>
  <c r="KA18" i="1"/>
  <c r="KC18" i="1"/>
  <c r="KK18" i="1" s="1"/>
  <c r="LR18" i="1" s="1"/>
  <c r="LX18" i="1" s="1"/>
  <c r="LJ28" i="1"/>
  <c r="JS26" i="1"/>
  <c r="KA26" i="1" s="1"/>
  <c r="BR29" i="2"/>
  <c r="BS29" i="2" s="1"/>
  <c r="BG6" i="2"/>
  <c r="KA20" i="1"/>
  <c r="KC20" i="1"/>
  <c r="KK20" i="1" s="1"/>
  <c r="LR20" i="1" s="1"/>
  <c r="LX20" i="1" s="1"/>
  <c r="KA9" i="1"/>
  <c r="KC9" i="1"/>
  <c r="KK9" i="1" s="1"/>
  <c r="LR9" i="1" s="1"/>
  <c r="LX9" i="1" s="1"/>
  <c r="KA25" i="1"/>
  <c r="KC25" i="1"/>
  <c r="KK25" i="1" s="1"/>
  <c r="LR25" i="1" s="1"/>
  <c r="LX25" i="1" s="1"/>
  <c r="KA23" i="1"/>
  <c r="KC23" i="1"/>
  <c r="KK23" i="1" s="1"/>
  <c r="LR23" i="1" s="1"/>
  <c r="LX23" i="1" s="1"/>
  <c r="KA24" i="1"/>
  <c r="KC24" i="1"/>
  <c r="KK24" i="1" s="1"/>
  <c r="LR24" i="1" s="1"/>
  <c r="LX24" i="1" s="1"/>
  <c r="KA22" i="1"/>
  <c r="KC22" i="1"/>
  <c r="KK22" i="1" s="1"/>
  <c r="LR22" i="1" s="1"/>
  <c r="LX22" i="1" s="1"/>
  <c r="LW26" i="1"/>
  <c r="KA6" i="1"/>
  <c r="KC6" i="1"/>
  <c r="KA14" i="1"/>
  <c r="KC14" i="1"/>
  <c r="KK14" i="1" s="1"/>
  <c r="LR14" i="1" s="1"/>
  <c r="LX14" i="1" s="1"/>
  <c r="L22" i="1"/>
  <c r="AL5" i="2"/>
  <c r="AH20" i="1"/>
  <c r="I12" i="1"/>
  <c r="H22" i="1"/>
  <c r="J12" i="1"/>
  <c r="M21" i="1"/>
  <c r="L21" i="1"/>
  <c r="P19" i="1"/>
  <c r="MJ19" i="1"/>
  <c r="O19" i="1"/>
  <c r="R19" i="1" s="1"/>
  <c r="Q19" i="1"/>
  <c r="P18" i="1"/>
  <c r="O18" i="1"/>
  <c r="R18" i="1" s="1"/>
  <c r="Q18" i="1"/>
  <c r="MJ18" i="1"/>
  <c r="N21" i="1"/>
  <c r="MJ14" i="1"/>
  <c r="P14" i="1"/>
  <c r="O14" i="1"/>
  <c r="R14" i="1" s="1"/>
  <c r="Q14" i="1"/>
  <c r="Z14" i="1"/>
  <c r="Y14" i="1"/>
  <c r="X14" i="1"/>
  <c r="AH21" i="1"/>
  <c r="KA19" i="1"/>
  <c r="KC19" i="1"/>
  <c r="KK19" i="1" s="1"/>
  <c r="LR19" i="1" s="1"/>
  <c r="LX19" i="1" s="1"/>
  <c r="Q20" i="1"/>
  <c r="MJ20" i="1"/>
  <c r="O20" i="1"/>
  <c r="R20" i="1" s="1"/>
  <c r="P20" i="1"/>
  <c r="CD4" i="2" l="1"/>
  <c r="CC4" i="2"/>
  <c r="C4" i="2"/>
  <c r="MU14" i="1"/>
  <c r="MM14" i="1"/>
  <c r="MK14" i="1"/>
  <c r="CC8" i="2"/>
  <c r="CD8" i="2"/>
  <c r="CD5" i="2"/>
  <c r="CC5" i="2"/>
  <c r="C5" i="2"/>
  <c r="MM15" i="1"/>
  <c r="MN15" i="1" s="1"/>
  <c r="MK15" i="1"/>
  <c r="MU15" i="1"/>
  <c r="MV15" i="1" s="1"/>
  <c r="MW15" i="1" s="1"/>
  <c r="Z16" i="1"/>
  <c r="Z15" i="1"/>
  <c r="J22" i="1"/>
  <c r="I22" i="1"/>
  <c r="CD7" i="2"/>
  <c r="CC7" i="2"/>
  <c r="BG4" i="2"/>
  <c r="BO29" i="2" s="1"/>
  <c r="BG5" i="2"/>
  <c r="BQ29" i="2" s="1"/>
  <c r="KA12" i="1"/>
  <c r="KC12" i="1"/>
  <c r="KK12" i="1" s="1"/>
  <c r="LR12" i="1" s="1"/>
  <c r="LX12" i="1" s="1"/>
  <c r="C8" i="2"/>
  <c r="MU18" i="1"/>
  <c r="MV18" i="1" s="1"/>
  <c r="MW18" i="1" s="1"/>
  <c r="MM18" i="1"/>
  <c r="MN18" i="1" s="1"/>
  <c r="MK18" i="1"/>
  <c r="AV27" i="2"/>
  <c r="AV7" i="2"/>
  <c r="AV12" i="2"/>
  <c r="AV18" i="2"/>
  <c r="AV15" i="2"/>
  <c r="AV8" i="2"/>
  <c r="AV5" i="2"/>
  <c r="AV4" i="2"/>
  <c r="AV19" i="2"/>
  <c r="AV21" i="2"/>
  <c r="AV28" i="2"/>
  <c r="AV23" i="2"/>
  <c r="AV10" i="2"/>
  <c r="AV25" i="2"/>
  <c r="AV16" i="2"/>
  <c r="AV17" i="2"/>
  <c r="AV14" i="2"/>
  <c r="AV26" i="2"/>
  <c r="AV20" i="2"/>
  <c r="AV24" i="2"/>
  <c r="AV9" i="2"/>
  <c r="AV22" i="2"/>
  <c r="AV13" i="2"/>
  <c r="AV6" i="2"/>
  <c r="AV11" i="2"/>
  <c r="Y16" i="1"/>
  <c r="Y15" i="1"/>
  <c r="C9" i="2"/>
  <c r="MK19" i="1"/>
  <c r="MM19" i="1"/>
  <c r="MN19" i="1" s="1"/>
  <c r="MU19" i="1"/>
  <c r="MV19" i="1" s="1"/>
  <c r="MW19" i="1" s="1"/>
  <c r="KC26" i="1"/>
  <c r="KK6" i="1"/>
  <c r="LR6" i="1" s="1"/>
  <c r="C10" i="2"/>
  <c r="MU20" i="1"/>
  <c r="MV20" i="1" s="1"/>
  <c r="MW20" i="1" s="1"/>
  <c r="MM20" i="1"/>
  <c r="MN20" i="1" s="1"/>
  <c r="MK20" i="1"/>
  <c r="Q21" i="1"/>
  <c r="P21" i="1"/>
  <c r="O21" i="1"/>
  <c r="R21" i="1" s="1"/>
  <c r="MJ21" i="1"/>
  <c r="AA14" i="1"/>
  <c r="X16" i="1"/>
  <c r="X15" i="1"/>
  <c r="M22" i="1"/>
  <c r="CD6" i="2"/>
  <c r="CC6" i="2"/>
  <c r="DZ29" i="2" l="1"/>
  <c r="MM21" i="1"/>
  <c r="MN14" i="1"/>
  <c r="MV14" i="1"/>
  <c r="MW14" i="1" s="1"/>
  <c r="BQ27" i="2"/>
  <c r="BQ4" i="2"/>
  <c r="BQ13" i="2"/>
  <c r="BQ20" i="2"/>
  <c r="BQ16" i="2"/>
  <c r="BQ21" i="2"/>
  <c r="BQ28" i="2"/>
  <c r="BQ12" i="2"/>
  <c r="BQ15" i="2"/>
  <c r="BQ14" i="2"/>
  <c r="BQ22" i="2"/>
  <c r="BQ19" i="2"/>
  <c r="BQ6" i="2"/>
  <c r="BQ24" i="2"/>
  <c r="BQ11" i="2"/>
  <c r="BQ5" i="2"/>
  <c r="BQ7" i="2"/>
  <c r="BQ18" i="2"/>
  <c r="BQ10" i="2"/>
  <c r="BQ23" i="2"/>
  <c r="BQ8" i="2"/>
  <c r="BQ25" i="2"/>
  <c r="BQ26" i="2"/>
  <c r="BQ9" i="2"/>
  <c r="BQ17" i="2"/>
  <c r="MK21" i="1"/>
  <c r="MU21" i="1"/>
  <c r="MV21" i="1" s="1"/>
  <c r="MW21" i="1" s="1"/>
  <c r="MD7" i="1"/>
  <c r="MD9" i="1" s="1"/>
  <c r="MD12" i="1" s="1"/>
  <c r="MD13" i="1" s="1"/>
  <c r="MJ23" i="1" s="1"/>
  <c r="MJ24" i="1" s="1"/>
  <c r="MU24" i="1" s="1"/>
  <c r="MV24" i="1" s="1"/>
  <c r="MW24" i="1" s="1"/>
  <c r="EI7" i="2"/>
  <c r="AL4" i="2"/>
  <c r="AL6" i="2" s="1"/>
  <c r="CC9" i="2"/>
  <c r="CL29" i="2" s="1"/>
  <c r="AA16" i="1"/>
  <c r="AA15" i="1"/>
  <c r="LR26" i="1"/>
  <c r="LX6" i="1"/>
  <c r="KC27" i="1"/>
  <c r="MJ31" i="1"/>
  <c r="KK26" i="1"/>
  <c r="N10" i="1"/>
  <c r="AV29" i="2"/>
  <c r="CD9" i="2"/>
  <c r="CN29" i="2" s="1"/>
  <c r="CL27" i="2" l="1"/>
  <c r="CL4" i="2"/>
  <c r="CL21" i="2"/>
  <c r="CL7" i="2"/>
  <c r="CL11" i="2"/>
  <c r="CL26" i="2"/>
  <c r="CL20" i="2"/>
  <c r="CL14" i="2"/>
  <c r="CL25" i="2"/>
  <c r="CL28" i="2"/>
  <c r="CL9" i="2"/>
  <c r="CL19" i="2"/>
  <c r="CL16" i="2"/>
  <c r="CL17" i="2"/>
  <c r="CL24" i="2"/>
  <c r="CL5" i="2"/>
  <c r="CL13" i="2"/>
  <c r="CL22" i="2"/>
  <c r="CL12" i="2"/>
  <c r="CL18" i="2"/>
  <c r="CL23" i="2"/>
  <c r="CL10" i="2"/>
  <c r="CL15" i="2"/>
  <c r="CL6" i="2"/>
  <c r="CL8" i="2"/>
  <c r="LX26" i="1"/>
  <c r="AW26" i="2"/>
  <c r="AX26" i="2" s="1"/>
  <c r="AW25" i="2"/>
  <c r="AX25" i="2" s="1"/>
  <c r="AW28" i="2"/>
  <c r="AX28" i="2" s="1"/>
  <c r="AW24" i="2"/>
  <c r="AX24" i="2" s="1"/>
  <c r="AW27" i="2"/>
  <c r="AX27" i="2" s="1"/>
  <c r="AW23" i="2"/>
  <c r="AX23" i="2" s="1"/>
  <c r="AW19" i="2"/>
  <c r="AX19" i="2" s="1"/>
  <c r="AW21" i="2"/>
  <c r="AX21" i="2" s="1"/>
  <c r="AW17" i="2"/>
  <c r="AX17" i="2" s="1"/>
  <c r="AW15" i="2"/>
  <c r="AX15" i="2" s="1"/>
  <c r="AW22" i="2"/>
  <c r="AX22" i="2" s="1"/>
  <c r="AW20" i="2"/>
  <c r="AX20" i="2" s="1"/>
  <c r="AW9" i="2"/>
  <c r="AX9" i="2" s="1"/>
  <c r="AW14" i="2"/>
  <c r="AX14" i="2" s="1"/>
  <c r="AW18" i="2"/>
  <c r="AX18" i="2" s="1"/>
  <c r="AW13" i="2"/>
  <c r="AX13" i="2" s="1"/>
  <c r="AW10" i="2"/>
  <c r="AX10" i="2" s="1"/>
  <c r="AW16" i="2"/>
  <c r="AX16" i="2" s="1"/>
  <c r="AW7" i="2"/>
  <c r="AX7" i="2" s="1"/>
  <c r="AW6" i="2"/>
  <c r="AX6" i="2" s="1"/>
  <c r="AW8" i="2"/>
  <c r="AX8" i="2" s="1"/>
  <c r="AW12" i="2"/>
  <c r="AX12" i="2" s="1"/>
  <c r="AW4" i="2"/>
  <c r="AW11" i="2"/>
  <c r="AX11" i="2" s="1"/>
  <c r="AW5" i="2"/>
  <c r="AX5" i="2" s="1"/>
  <c r="MN21" i="1"/>
  <c r="MM23" i="1"/>
  <c r="MN23" i="1" s="1"/>
  <c r="CN23" i="2"/>
  <c r="CN18" i="2"/>
  <c r="CN27" i="2"/>
  <c r="CO27" i="2" s="1"/>
  <c r="CN24" i="2"/>
  <c r="CN12" i="2"/>
  <c r="CN4" i="2"/>
  <c r="CO4" i="2" s="1"/>
  <c r="CN20" i="2"/>
  <c r="CN15" i="2"/>
  <c r="CN21" i="2"/>
  <c r="CN14" i="2"/>
  <c r="CN10" i="2"/>
  <c r="CN19" i="2"/>
  <c r="CN5" i="2"/>
  <c r="CN11" i="2"/>
  <c r="CN13" i="2"/>
  <c r="CN22" i="2"/>
  <c r="CN9" i="2"/>
  <c r="CN28" i="2"/>
  <c r="CN17" i="2"/>
  <c r="CO17" i="2" s="1"/>
  <c r="CN25" i="2"/>
  <c r="CN16" i="2"/>
  <c r="CN6" i="2"/>
  <c r="CN8" i="2"/>
  <c r="CN7" i="2"/>
  <c r="CN26" i="2"/>
  <c r="EI4" i="2"/>
  <c r="EQ29" i="2" s="1"/>
  <c r="EI5" i="2"/>
  <c r="ES29" i="2" s="1"/>
  <c r="EI6" i="2"/>
  <c r="EU29" i="2" s="1"/>
  <c r="P10" i="1"/>
  <c r="O10" i="1"/>
  <c r="R10" i="1" s="1"/>
  <c r="Q10" i="1"/>
  <c r="MJ10" i="1"/>
  <c r="N12" i="1"/>
  <c r="C11" i="2"/>
  <c r="MU23" i="1"/>
  <c r="MV23" i="1" s="1"/>
  <c r="MW23" i="1" s="1"/>
  <c r="MK23" i="1"/>
  <c r="Z18" i="1"/>
  <c r="X18" i="1"/>
  <c r="Y18" i="1"/>
  <c r="KK27" i="1"/>
  <c r="MU31" i="1"/>
  <c r="MV31" i="1" s="1"/>
  <c r="MW31" i="1" s="1"/>
  <c r="MK31" i="1"/>
  <c r="EA29" i="2"/>
  <c r="DZ4" i="2"/>
  <c r="DZ23" i="2"/>
  <c r="DZ18" i="2"/>
  <c r="DZ27" i="2"/>
  <c r="DZ20" i="2"/>
  <c r="DZ12" i="2"/>
  <c r="DZ24" i="2"/>
  <c r="FX24" i="2" s="1"/>
  <c r="DZ21" i="2"/>
  <c r="DZ7" i="2"/>
  <c r="DZ19" i="2"/>
  <c r="DZ10" i="2"/>
  <c r="DZ28" i="2"/>
  <c r="DZ8" i="2"/>
  <c r="DZ16" i="2"/>
  <c r="DZ22" i="2"/>
  <c r="DZ15" i="2"/>
  <c r="DZ26" i="2"/>
  <c r="DZ17" i="2"/>
  <c r="DZ9" i="2"/>
  <c r="DZ14" i="2"/>
  <c r="DZ11" i="2"/>
  <c r="DZ5" i="2"/>
  <c r="DZ6" i="2"/>
  <c r="DZ25" i="2"/>
  <c r="FX25" i="2" s="1"/>
  <c r="DZ13" i="2"/>
  <c r="CO23" i="2" l="1"/>
  <c r="CO18" i="2"/>
  <c r="CO10" i="2"/>
  <c r="CO14" i="2"/>
  <c r="CO25" i="2"/>
  <c r="FV25" i="2" s="1"/>
  <c r="CO15" i="2"/>
  <c r="FV15" i="2" s="1"/>
  <c r="CO28" i="2"/>
  <c r="FV28" i="2" s="1"/>
  <c r="CO9" i="2"/>
  <c r="CQ9" i="2" s="1"/>
  <c r="GK9" i="2" s="1"/>
  <c r="CO24" i="2"/>
  <c r="FV24" i="2" s="1"/>
  <c r="FV17" i="2"/>
  <c r="CQ17" i="2"/>
  <c r="GK17" i="2" s="1"/>
  <c r="FT27" i="2"/>
  <c r="AZ27" i="2"/>
  <c r="GI27" i="2" s="1"/>
  <c r="CQ4" i="2"/>
  <c r="GK4" i="2" s="1"/>
  <c r="FV4" i="2"/>
  <c r="EU4" i="2"/>
  <c r="EU27" i="2"/>
  <c r="EU25" i="2"/>
  <c r="EU19" i="2"/>
  <c r="EU28" i="2"/>
  <c r="EU12" i="2"/>
  <c r="EU13" i="2"/>
  <c r="EU21" i="2"/>
  <c r="EU6" i="2"/>
  <c r="EU24" i="2"/>
  <c r="EU20" i="2"/>
  <c r="EU7" i="2"/>
  <c r="EU22" i="2"/>
  <c r="EU16" i="2"/>
  <c r="EU11" i="2"/>
  <c r="EU10" i="2"/>
  <c r="EU9" i="2"/>
  <c r="EU23" i="2"/>
  <c r="EU8" i="2"/>
  <c r="EU18" i="2"/>
  <c r="EU15" i="2"/>
  <c r="EU26" i="2"/>
  <c r="EU5" i="2"/>
  <c r="EU14" i="2"/>
  <c r="EU17" i="2"/>
  <c r="CO12" i="2"/>
  <c r="FT13" i="2"/>
  <c r="AZ13" i="2"/>
  <c r="GI13" i="2" s="1"/>
  <c r="AZ14" i="2"/>
  <c r="GI14" i="2" s="1"/>
  <c r="FT14" i="2"/>
  <c r="EA5" i="2"/>
  <c r="GM5" i="2" s="1"/>
  <c r="FX5" i="2"/>
  <c r="EA9" i="2"/>
  <c r="GM9" i="2" s="1"/>
  <c r="FX9" i="2"/>
  <c r="FT25" i="2"/>
  <c r="EA17" i="2"/>
  <c r="GM17" i="2" s="1"/>
  <c r="FX17" i="2"/>
  <c r="FT26" i="2"/>
  <c r="AZ26" i="2"/>
  <c r="GI26" i="2" s="1"/>
  <c r="X20" i="1"/>
  <c r="X22" i="1"/>
  <c r="X19" i="1"/>
  <c r="X23" i="1" s="1"/>
  <c r="AA18" i="1"/>
  <c r="AZ12" i="2"/>
  <c r="GI12" i="2" s="1"/>
  <c r="FT12" i="2"/>
  <c r="FX7" i="2"/>
  <c r="EA7" i="2"/>
  <c r="GM7" i="2" s="1"/>
  <c r="FV9" i="2"/>
  <c r="FX12" i="2"/>
  <c r="EA12" i="2"/>
  <c r="GM12" i="2" s="1"/>
  <c r="AZ5" i="2"/>
  <c r="GI5" i="2" s="1"/>
  <c r="FT5" i="2"/>
  <c r="FX20" i="2"/>
  <c r="EA20" i="2"/>
  <c r="GM20" i="2" s="1"/>
  <c r="FT11" i="2"/>
  <c r="AZ11" i="2"/>
  <c r="GI11" i="2" s="1"/>
  <c r="FD4" i="2"/>
  <c r="Z22" i="1"/>
  <c r="Z19" i="1"/>
  <c r="Z23" i="1" s="1"/>
  <c r="Z20" i="1"/>
  <c r="C12" i="2"/>
  <c r="MM10" i="1"/>
  <c r="MU10" i="1"/>
  <c r="MV10" i="1" s="1"/>
  <c r="MW10" i="1" s="1"/>
  <c r="MK10" i="1"/>
  <c r="MJ25" i="1"/>
  <c r="CO7" i="2"/>
  <c r="CO19" i="2"/>
  <c r="FT8" i="2"/>
  <c r="AZ8" i="2"/>
  <c r="GI8" i="2" s="1"/>
  <c r="AZ17" i="2"/>
  <c r="GI17" i="2" s="1"/>
  <c r="FT17" i="2"/>
  <c r="FT9" i="2"/>
  <c r="AZ9" i="2"/>
  <c r="GI9" i="2" s="1"/>
  <c r="FX26" i="2"/>
  <c r="EA26" i="2"/>
  <c r="GM26" i="2" s="1"/>
  <c r="CO13" i="2"/>
  <c r="EA15" i="2"/>
  <c r="GM15" i="2" s="1"/>
  <c r="FX15" i="2"/>
  <c r="EA27" i="2"/>
  <c r="GM27" i="2" s="1"/>
  <c r="FX27" i="2"/>
  <c r="FT24" i="2"/>
  <c r="FX14" i="2"/>
  <c r="EA14" i="2"/>
  <c r="GM14" i="2" s="1"/>
  <c r="CQ28" i="2"/>
  <c r="GK28" i="2" s="1"/>
  <c r="AZ28" i="2"/>
  <c r="GI28" i="2" s="1"/>
  <c r="FT28" i="2"/>
  <c r="Y20" i="1"/>
  <c r="Y19" i="1"/>
  <c r="Y23" i="1" s="1"/>
  <c r="Y22" i="1"/>
  <c r="FV18" i="2"/>
  <c r="CQ18" i="2"/>
  <c r="GK18" i="2" s="1"/>
  <c r="AW29" i="2"/>
  <c r="AX4" i="2"/>
  <c r="FT22" i="2"/>
  <c r="AZ22" i="2"/>
  <c r="GI22" i="2" s="1"/>
  <c r="FX18" i="2"/>
  <c r="EA18" i="2"/>
  <c r="GM18" i="2" s="1"/>
  <c r="CO26" i="2"/>
  <c r="FT15" i="2"/>
  <c r="AZ15" i="2"/>
  <c r="GI15" i="2" s="1"/>
  <c r="EA28" i="2"/>
  <c r="GM28" i="2" s="1"/>
  <c r="FX28" i="2"/>
  <c r="CO6" i="2"/>
  <c r="FV14" i="2"/>
  <c r="CQ14" i="2"/>
  <c r="GK14" i="2" s="1"/>
  <c r="FT7" i="2"/>
  <c r="AZ7" i="2"/>
  <c r="GI7" i="2" s="1"/>
  <c r="AZ19" i="2"/>
  <c r="GI19" i="2" s="1"/>
  <c r="FT19" i="2"/>
  <c r="FX19" i="2"/>
  <c r="EA19" i="2"/>
  <c r="GM19" i="2" s="1"/>
  <c r="AZ10" i="2"/>
  <c r="GI10" i="2" s="1"/>
  <c r="FT10" i="2"/>
  <c r="EA11" i="2"/>
  <c r="GM11" i="2" s="1"/>
  <c r="FX11" i="2"/>
  <c r="CO20" i="2"/>
  <c r="EA21" i="2"/>
  <c r="GM21" i="2" s="1"/>
  <c r="FX21" i="2"/>
  <c r="AZ18" i="2"/>
  <c r="GI18" i="2" s="1"/>
  <c r="FT18" i="2"/>
  <c r="CO22" i="2"/>
  <c r="FV27" i="2"/>
  <c r="CQ27" i="2"/>
  <c r="GK27" i="2" s="1"/>
  <c r="FT20" i="2"/>
  <c r="AZ20" i="2"/>
  <c r="GI20" i="2" s="1"/>
  <c r="CO11" i="2"/>
  <c r="EA22" i="2"/>
  <c r="GM22" i="2" s="1"/>
  <c r="FX22" i="2"/>
  <c r="N22" i="1"/>
  <c r="Q12" i="1"/>
  <c r="P12" i="1"/>
  <c r="MJ12" i="1"/>
  <c r="O12" i="1"/>
  <c r="R12" i="1" s="1"/>
  <c r="CO5" i="2"/>
  <c r="FV23" i="2"/>
  <c r="CQ23" i="2"/>
  <c r="GK23" i="2" s="1"/>
  <c r="EA16" i="2"/>
  <c r="GM16" i="2" s="1"/>
  <c r="FX16" i="2"/>
  <c r="FX23" i="2"/>
  <c r="EA23" i="2"/>
  <c r="GM23" i="2" s="1"/>
  <c r="FX13" i="2"/>
  <c r="EA13" i="2"/>
  <c r="GM13" i="2" s="1"/>
  <c r="EA8" i="2"/>
  <c r="GM8" i="2" s="1"/>
  <c r="FX8" i="2"/>
  <c r="EA4" i="2"/>
  <c r="GM4" i="2" s="1"/>
  <c r="FX4" i="2"/>
  <c r="CO8" i="2"/>
  <c r="CQ10" i="2"/>
  <c r="GK10" i="2" s="1"/>
  <c r="FV10" i="2"/>
  <c r="FT6" i="2"/>
  <c r="AZ6" i="2"/>
  <c r="GI6" i="2" s="1"/>
  <c r="FT21" i="2"/>
  <c r="AZ21" i="2"/>
  <c r="GI21" i="2" s="1"/>
  <c r="FX6" i="2"/>
  <c r="EA6" i="2"/>
  <c r="GM6" i="2" s="1"/>
  <c r="EA10" i="2"/>
  <c r="GM10" i="2" s="1"/>
  <c r="FX10" i="2"/>
  <c r="CO16" i="2"/>
  <c r="CO21" i="2"/>
  <c r="MM24" i="1"/>
  <c r="FT16" i="2"/>
  <c r="AZ16" i="2"/>
  <c r="GI16" i="2" s="1"/>
  <c r="AZ23" i="2"/>
  <c r="GI23" i="2" s="1"/>
  <c r="FT23" i="2"/>
  <c r="CQ15" i="2" l="1"/>
  <c r="GK15" i="2" s="1"/>
  <c r="CO29" i="2"/>
  <c r="CP27" i="2" s="1"/>
  <c r="DA5" i="2"/>
  <c r="DB6" i="2"/>
  <c r="CQ29" i="2"/>
  <c r="CP17" i="2"/>
  <c r="CP18" i="2"/>
  <c r="CP10" i="2"/>
  <c r="CP9" i="2"/>
  <c r="CP15" i="2"/>
  <c r="CP28" i="2"/>
  <c r="CP14" i="2"/>
  <c r="CP24" i="2"/>
  <c r="CP23" i="2"/>
  <c r="CP25" i="2"/>
  <c r="CP16" i="2"/>
  <c r="FV16" i="2"/>
  <c r="CQ16" i="2"/>
  <c r="GK16" i="2" s="1"/>
  <c r="FD5" i="2"/>
  <c r="FD6" i="2" s="1"/>
  <c r="FL29" i="2" s="1"/>
  <c r="FM29" i="2" s="1"/>
  <c r="CZ5" i="2"/>
  <c r="DB5" i="2"/>
  <c r="C13" i="2"/>
  <c r="D12" i="2" s="1"/>
  <c r="FX29" i="2"/>
  <c r="MU12" i="1"/>
  <c r="MV12" i="1" s="1"/>
  <c r="MW12" i="1" s="1"/>
  <c r="MK12" i="1"/>
  <c r="E13" i="2"/>
  <c r="CP12" i="2"/>
  <c r="CQ12" i="2"/>
  <c r="GK12" i="2" s="1"/>
  <c r="FV12" i="2"/>
  <c r="CP22" i="2"/>
  <c r="FV22" i="2"/>
  <c r="CQ22" i="2"/>
  <c r="GK22" i="2" s="1"/>
  <c r="CP6" i="2"/>
  <c r="FV6" i="2"/>
  <c r="CQ6" i="2"/>
  <c r="GK6" i="2" s="1"/>
  <c r="AX29" i="2"/>
  <c r="AY4" i="2" s="1"/>
  <c r="BN4" i="2" s="1"/>
  <c r="FT4" i="2"/>
  <c r="AZ4" i="2"/>
  <c r="GI4" i="2" s="1"/>
  <c r="CP13" i="2"/>
  <c r="FV13" i="2"/>
  <c r="CQ13" i="2"/>
  <c r="GK13" i="2" s="1"/>
  <c r="CP19" i="2"/>
  <c r="FV19" i="2"/>
  <c r="CQ19" i="2"/>
  <c r="GK19" i="2" s="1"/>
  <c r="CP20" i="2"/>
  <c r="FV20" i="2"/>
  <c r="CQ20" i="2"/>
  <c r="GK20" i="2" s="1"/>
  <c r="CP5" i="2"/>
  <c r="CQ5" i="2"/>
  <c r="GK5" i="2" s="1"/>
  <c r="FV5" i="2"/>
  <c r="CP7" i="2"/>
  <c r="CQ7" i="2"/>
  <c r="GK7" i="2" s="1"/>
  <c r="FV7" i="2"/>
  <c r="MJ28" i="1"/>
  <c r="MU25" i="1"/>
  <c r="MK25" i="1"/>
  <c r="CP26" i="2"/>
  <c r="FV26" i="2"/>
  <c r="CQ26" i="2"/>
  <c r="GK26" i="2" s="1"/>
  <c r="CP8" i="2"/>
  <c r="FV8" i="2"/>
  <c r="CQ8" i="2"/>
  <c r="GK8" i="2" s="1"/>
  <c r="Q22" i="1"/>
  <c r="P22" i="1"/>
  <c r="O22" i="1"/>
  <c r="R22" i="1" s="1"/>
  <c r="CP21" i="2"/>
  <c r="CQ21" i="2"/>
  <c r="GK21" i="2" s="1"/>
  <c r="FV21" i="2"/>
  <c r="CP11" i="2"/>
  <c r="FV11" i="2"/>
  <c r="CQ11" i="2"/>
  <c r="GK11" i="2" s="1"/>
  <c r="MN10" i="1"/>
  <c r="MM25" i="1"/>
  <c r="AA22" i="1"/>
  <c r="AA20" i="1"/>
  <c r="AA19" i="1"/>
  <c r="AA23" i="1" s="1"/>
  <c r="CP4" i="2" l="1"/>
  <c r="CZ6" i="2"/>
  <c r="DA6" i="2"/>
  <c r="FV29" i="2"/>
  <c r="GK29" i="2" s="1"/>
  <c r="BO4" i="2"/>
  <c r="BR4" i="2" s="1"/>
  <c r="ER22" i="2"/>
  <c r="ES22" i="2" s="1"/>
  <c r="DJ22" i="2"/>
  <c r="ER24" i="2"/>
  <c r="ES24" i="2" s="1"/>
  <c r="DJ24" i="2"/>
  <c r="CP29" i="2"/>
  <c r="ER4" i="2"/>
  <c r="DJ4" i="2"/>
  <c r="DJ13" i="2"/>
  <c r="ER13" i="2"/>
  <c r="ES13" i="2" s="1"/>
  <c r="ER27" i="2"/>
  <c r="ES27" i="2" s="1"/>
  <c r="DJ27" i="2"/>
  <c r="DJ14" i="2"/>
  <c r="ER14" i="2"/>
  <c r="ES14" i="2" s="1"/>
  <c r="DJ8" i="2"/>
  <c r="ER8" i="2"/>
  <c r="ES8" i="2" s="1"/>
  <c r="DJ7" i="2"/>
  <c r="ER7" i="2"/>
  <c r="ES7" i="2" s="1"/>
  <c r="ER28" i="2"/>
  <c r="ES28" i="2" s="1"/>
  <c r="DJ28" i="2"/>
  <c r="DJ5" i="2"/>
  <c r="ER5" i="2"/>
  <c r="ES5" i="2" s="1"/>
  <c r="FT29" i="2"/>
  <c r="ER15" i="2"/>
  <c r="ES15" i="2" s="1"/>
  <c r="DJ15" i="2"/>
  <c r="DJ19" i="2"/>
  <c r="ER19" i="2"/>
  <c r="ES19" i="2" s="1"/>
  <c r="ER11" i="2"/>
  <c r="ES11" i="2" s="1"/>
  <c r="DJ11" i="2"/>
  <c r="ER20" i="2"/>
  <c r="ES20" i="2" s="1"/>
  <c r="DJ20" i="2"/>
  <c r="AY29" i="2"/>
  <c r="AZ29" i="2"/>
  <c r="AY9" i="2"/>
  <c r="BN9" i="2" s="1"/>
  <c r="BO9" i="2" s="1"/>
  <c r="BR9" i="2" s="1"/>
  <c r="AY24" i="2"/>
  <c r="BN24" i="2" s="1"/>
  <c r="BO24" i="2" s="1"/>
  <c r="BR24" i="2" s="1"/>
  <c r="FU24" i="2" s="1"/>
  <c r="AY15" i="2"/>
  <c r="BN15" i="2" s="1"/>
  <c r="BO15" i="2" s="1"/>
  <c r="BR15" i="2" s="1"/>
  <c r="AY19" i="2"/>
  <c r="BN19" i="2" s="1"/>
  <c r="BO19" i="2" s="1"/>
  <c r="BR19" i="2" s="1"/>
  <c r="AY12" i="2"/>
  <c r="BN12" i="2" s="1"/>
  <c r="BO12" i="2" s="1"/>
  <c r="BR12" i="2" s="1"/>
  <c r="AY11" i="2"/>
  <c r="BN11" i="2" s="1"/>
  <c r="BO11" i="2" s="1"/>
  <c r="BR11" i="2" s="1"/>
  <c r="AY18" i="2"/>
  <c r="BN18" i="2" s="1"/>
  <c r="BO18" i="2" s="1"/>
  <c r="BR18" i="2" s="1"/>
  <c r="AY6" i="2"/>
  <c r="BN6" i="2" s="1"/>
  <c r="BO6" i="2" s="1"/>
  <c r="BR6" i="2" s="1"/>
  <c r="AY13" i="2"/>
  <c r="BN13" i="2" s="1"/>
  <c r="BO13" i="2" s="1"/>
  <c r="BR13" i="2" s="1"/>
  <c r="AY25" i="2"/>
  <c r="BN25" i="2" s="1"/>
  <c r="BO25" i="2" s="1"/>
  <c r="BR25" i="2" s="1"/>
  <c r="FU25" i="2" s="1"/>
  <c r="AY16" i="2"/>
  <c r="BN16" i="2" s="1"/>
  <c r="BO16" i="2" s="1"/>
  <c r="BR16" i="2" s="1"/>
  <c r="AY17" i="2"/>
  <c r="BN17" i="2" s="1"/>
  <c r="BO17" i="2" s="1"/>
  <c r="BR17" i="2" s="1"/>
  <c r="AY7" i="2"/>
  <c r="BN7" i="2" s="1"/>
  <c r="BO7" i="2" s="1"/>
  <c r="BR7" i="2" s="1"/>
  <c r="AY27" i="2"/>
  <c r="BN27" i="2" s="1"/>
  <c r="BO27" i="2" s="1"/>
  <c r="BR27" i="2" s="1"/>
  <c r="AY14" i="2"/>
  <c r="BN14" i="2" s="1"/>
  <c r="BO14" i="2" s="1"/>
  <c r="BR14" i="2" s="1"/>
  <c r="AY10" i="2"/>
  <c r="BN10" i="2" s="1"/>
  <c r="BO10" i="2" s="1"/>
  <c r="BR10" i="2" s="1"/>
  <c r="AY21" i="2"/>
  <c r="BN21" i="2" s="1"/>
  <c r="BO21" i="2" s="1"/>
  <c r="BR21" i="2" s="1"/>
  <c r="AY23" i="2"/>
  <c r="BN23" i="2" s="1"/>
  <c r="BO23" i="2" s="1"/>
  <c r="BR23" i="2" s="1"/>
  <c r="AY26" i="2"/>
  <c r="BN26" i="2" s="1"/>
  <c r="BO26" i="2" s="1"/>
  <c r="BR26" i="2" s="1"/>
  <c r="AY8" i="2"/>
  <c r="BN8" i="2" s="1"/>
  <c r="BO8" i="2" s="1"/>
  <c r="BR8" i="2" s="1"/>
  <c r="AY22" i="2"/>
  <c r="BN22" i="2" s="1"/>
  <c r="BO22" i="2" s="1"/>
  <c r="BR22" i="2" s="1"/>
  <c r="AY28" i="2"/>
  <c r="BN28" i="2" s="1"/>
  <c r="BO28" i="2" s="1"/>
  <c r="BR28" i="2" s="1"/>
  <c r="AY20" i="2"/>
  <c r="BN20" i="2" s="1"/>
  <c r="BO20" i="2" s="1"/>
  <c r="BR20" i="2" s="1"/>
  <c r="AY5" i="2"/>
  <c r="BN5" i="2" s="1"/>
  <c r="BO5" i="2" s="1"/>
  <c r="BR5" i="2" s="1"/>
  <c r="D7" i="2"/>
  <c r="D6" i="2"/>
  <c r="D4" i="2"/>
  <c r="D10" i="2"/>
  <c r="D8" i="2"/>
  <c r="D5" i="2"/>
  <c r="D9" i="2"/>
  <c r="D11" i="2"/>
  <c r="DJ9" i="2"/>
  <c r="ER9" i="2"/>
  <c r="ES9" i="2" s="1"/>
  <c r="ER26" i="2"/>
  <c r="ES26" i="2" s="1"/>
  <c r="DJ26" i="2"/>
  <c r="MV25" i="1"/>
  <c r="MW25" i="1" s="1"/>
  <c r="MU28" i="1"/>
  <c r="MV28" i="1" s="1"/>
  <c r="MW28" i="1" s="1"/>
  <c r="ER10" i="2"/>
  <c r="ES10" i="2" s="1"/>
  <c r="DJ10" i="2"/>
  <c r="MN25" i="1"/>
  <c r="MM28" i="1"/>
  <c r="DJ21" i="2"/>
  <c r="ER21" i="2"/>
  <c r="ES21" i="2" s="1"/>
  <c r="MK28" i="1"/>
  <c r="MJ30" i="1"/>
  <c r="GM29" i="2"/>
  <c r="DJ18" i="2"/>
  <c r="ER18" i="2"/>
  <c r="ES18" i="2" s="1"/>
  <c r="DJ23" i="2"/>
  <c r="ER23" i="2"/>
  <c r="ES23" i="2" s="1"/>
  <c r="DJ12" i="2"/>
  <c r="ER12" i="2"/>
  <c r="ES12" i="2" s="1"/>
  <c r="ER6" i="2"/>
  <c r="ES6" i="2" s="1"/>
  <c r="DJ6" i="2"/>
  <c r="DJ16" i="2"/>
  <c r="ER16" i="2"/>
  <c r="ES16" i="2" s="1"/>
  <c r="ER17" i="2"/>
  <c r="ES17" i="2" s="1"/>
  <c r="DJ17" i="2"/>
  <c r="DJ25" i="2"/>
  <c r="ER25" i="2"/>
  <c r="ES25" i="2" s="1"/>
  <c r="FU26" i="2" l="1"/>
  <c r="BS26" i="2"/>
  <c r="GJ26" i="2" s="1"/>
  <c r="BS18" i="2"/>
  <c r="GJ18" i="2" s="1"/>
  <c r="FU18" i="2"/>
  <c r="ER29" i="2"/>
  <c r="ES4" i="2"/>
  <c r="FU10" i="2"/>
  <c r="BS10" i="2"/>
  <c r="GJ10" i="2" s="1"/>
  <c r="BS19" i="2"/>
  <c r="GJ19" i="2" s="1"/>
  <c r="FU19" i="2"/>
  <c r="FU13" i="2"/>
  <c r="BS13" i="2"/>
  <c r="GJ13" i="2" s="1"/>
  <c r="FU11" i="2"/>
  <c r="BS11" i="2"/>
  <c r="GJ11" i="2" s="1"/>
  <c r="D13" i="2"/>
  <c r="BS27" i="2"/>
  <c r="GJ27" i="2" s="1"/>
  <c r="FU27" i="2"/>
  <c r="FU6" i="2"/>
  <c r="BS6" i="2"/>
  <c r="GJ6" i="2" s="1"/>
  <c r="MM30" i="1"/>
  <c r="MN30" i="1" s="1"/>
  <c r="MN28" i="1"/>
  <c r="FU12" i="2"/>
  <c r="BS12" i="2"/>
  <c r="GJ12" i="2" s="1"/>
  <c r="FU14" i="2"/>
  <c r="BS14" i="2"/>
  <c r="GJ14" i="2" s="1"/>
  <c r="BS15" i="2"/>
  <c r="GJ15" i="2" s="1"/>
  <c r="FU15" i="2"/>
  <c r="BS7" i="2"/>
  <c r="GJ7" i="2" s="1"/>
  <c r="FU7" i="2"/>
  <c r="FU9" i="2"/>
  <c r="BS9" i="2"/>
  <c r="GJ9" i="2" s="1"/>
  <c r="BS4" i="2"/>
  <c r="GJ4" i="2" s="1"/>
  <c r="FU4" i="2"/>
  <c r="DJ29" i="2"/>
  <c r="BN29" i="2"/>
  <c r="FU22" i="2"/>
  <c r="BS22" i="2"/>
  <c r="GJ22" i="2" s="1"/>
  <c r="FU8" i="2"/>
  <c r="BS8" i="2"/>
  <c r="GJ8" i="2" s="1"/>
  <c r="FU23" i="2"/>
  <c r="BS23" i="2"/>
  <c r="GJ23" i="2" s="1"/>
  <c r="BS21" i="2"/>
  <c r="GJ21" i="2" s="1"/>
  <c r="FU21" i="2"/>
  <c r="BS5" i="2"/>
  <c r="GJ5" i="2" s="1"/>
  <c r="FU5" i="2"/>
  <c r="FU17" i="2"/>
  <c r="BS17" i="2"/>
  <c r="GJ17" i="2" s="1"/>
  <c r="MK30" i="1"/>
  <c r="MJ32" i="1"/>
  <c r="MU32" i="1" s="1"/>
  <c r="MV32" i="1" s="1"/>
  <c r="MU30" i="1"/>
  <c r="MV30" i="1" s="1"/>
  <c r="MW30" i="1" s="1"/>
  <c r="MM9" i="1"/>
  <c r="FU20" i="2"/>
  <c r="BS20" i="2"/>
  <c r="GJ20" i="2" s="1"/>
  <c r="FU16" i="2"/>
  <c r="BS16" i="2"/>
  <c r="GJ16" i="2" s="1"/>
  <c r="GI29" i="2"/>
  <c r="DC7" i="2"/>
  <c r="DB4" i="2"/>
  <c r="DB7" i="2" s="1"/>
  <c r="DO29" i="2" s="1"/>
  <c r="DA4" i="2"/>
  <c r="DA7" i="2" s="1"/>
  <c r="DM29" i="2" s="1"/>
  <c r="CZ4" i="2"/>
  <c r="CZ7" i="2" s="1"/>
  <c r="BS28" i="2"/>
  <c r="GJ28" i="2" s="1"/>
  <c r="FU28" i="2"/>
  <c r="DK29" i="2" l="1"/>
  <c r="DM24" i="2"/>
  <c r="DM18" i="2"/>
  <c r="DM23" i="2"/>
  <c r="DM4" i="2"/>
  <c r="DM12" i="2"/>
  <c r="DM27" i="2"/>
  <c r="DM20" i="2"/>
  <c r="DM14" i="2"/>
  <c r="DM25" i="2"/>
  <c r="DM16" i="2"/>
  <c r="DM7" i="2"/>
  <c r="DM19" i="2"/>
  <c r="DM10" i="2"/>
  <c r="DM9" i="2"/>
  <c r="DM17" i="2"/>
  <c r="DM22" i="2"/>
  <c r="DM6" i="2"/>
  <c r="DM8" i="2"/>
  <c r="DM26" i="2"/>
  <c r="DM15" i="2"/>
  <c r="DM11" i="2"/>
  <c r="DM5" i="2"/>
  <c r="DM28" i="2"/>
  <c r="DM13" i="2"/>
  <c r="DM21" i="2"/>
  <c r="MM32" i="1"/>
  <c r="MN9" i="1"/>
  <c r="MM12" i="1"/>
  <c r="MM7" i="1"/>
  <c r="MN7" i="1" s="1"/>
  <c r="FU29" i="2"/>
  <c r="DO4" i="2"/>
  <c r="DO27" i="2"/>
  <c r="DO16" i="2"/>
  <c r="DO11" i="2"/>
  <c r="DO23" i="2"/>
  <c r="DO14" i="2"/>
  <c r="DO6" i="2"/>
  <c r="DO17" i="2"/>
  <c r="DO5" i="2"/>
  <c r="DO18" i="2"/>
  <c r="DO22" i="2"/>
  <c r="DO24" i="2"/>
  <c r="DO9" i="2"/>
  <c r="DO20" i="2"/>
  <c r="DO19" i="2"/>
  <c r="DO8" i="2"/>
  <c r="DO13" i="2"/>
  <c r="DO12" i="2"/>
  <c r="DO25" i="2"/>
  <c r="DO15" i="2"/>
  <c r="DO7" i="2"/>
  <c r="DO10" i="2"/>
  <c r="DO28" i="2"/>
  <c r="DO26" i="2"/>
  <c r="DO21" i="2"/>
  <c r="MN12" i="1" l="1"/>
  <c r="DK23" i="2"/>
  <c r="DP23" i="2" s="1"/>
  <c r="DK5" i="2"/>
  <c r="DP5" i="2" s="1"/>
  <c r="DK10" i="2"/>
  <c r="DP10" i="2" s="1"/>
  <c r="DK24" i="2"/>
  <c r="DP24" i="2" s="1"/>
  <c r="DK14" i="2"/>
  <c r="DP14" i="2" s="1"/>
  <c r="DK17" i="2"/>
  <c r="DP17" i="2" s="1"/>
  <c r="DK28" i="2"/>
  <c r="DP28" i="2" s="1"/>
  <c r="DK22" i="2"/>
  <c r="DP22" i="2" s="1"/>
  <c r="DK25" i="2"/>
  <c r="DP25" i="2" s="1"/>
  <c r="DK7" i="2"/>
  <c r="DP7" i="2" s="1"/>
  <c r="DK21" i="2"/>
  <c r="DP21" i="2" s="1"/>
  <c r="DK19" i="2"/>
  <c r="DP19" i="2" s="1"/>
  <c r="DK20" i="2"/>
  <c r="DP20" i="2" s="1"/>
  <c r="DK13" i="2"/>
  <c r="DP13" i="2" s="1"/>
  <c r="DK15" i="2"/>
  <c r="DP15" i="2" s="1"/>
  <c r="DK4" i="2"/>
  <c r="DP4" i="2" s="1"/>
  <c r="DK16" i="2"/>
  <c r="DP16" i="2" s="1"/>
  <c r="DK9" i="2"/>
  <c r="DP9" i="2" s="1"/>
  <c r="DK11" i="2"/>
  <c r="DP11" i="2" s="1"/>
  <c r="DK8" i="2"/>
  <c r="DP8" i="2" s="1"/>
  <c r="DK26" i="2"/>
  <c r="DP26" i="2" s="1"/>
  <c r="DK18" i="2"/>
  <c r="DP18" i="2" s="1"/>
  <c r="DK6" i="2"/>
  <c r="DP6" i="2" s="1"/>
  <c r="DK12" i="2"/>
  <c r="DP12" i="2" s="1"/>
  <c r="DK27" i="2"/>
  <c r="DP27" i="2" s="1"/>
  <c r="GJ29" i="2"/>
  <c r="FW26" i="2" l="1"/>
  <c r="DR26" i="2"/>
  <c r="GL26" i="2" s="1"/>
  <c r="FW22" i="2"/>
  <c r="DR22" i="2"/>
  <c r="GL22" i="2" s="1"/>
  <c r="DR17" i="2"/>
  <c r="GL17" i="2" s="1"/>
  <c r="FW17" i="2"/>
  <c r="FW20" i="2"/>
  <c r="DR20" i="2"/>
  <c r="GL20" i="2" s="1"/>
  <c r="DR23" i="2"/>
  <c r="GL23" i="2" s="1"/>
  <c r="FW23" i="2"/>
  <c r="DR7" i="2"/>
  <c r="GL7" i="2" s="1"/>
  <c r="FW7" i="2"/>
  <c r="FW8" i="2"/>
  <c r="DR8" i="2"/>
  <c r="GL8" i="2" s="1"/>
  <c r="DR28" i="2"/>
  <c r="GL28" i="2" s="1"/>
  <c r="FW28" i="2"/>
  <c r="FW16" i="2"/>
  <c r="DR16" i="2"/>
  <c r="GL16" i="2" s="1"/>
  <c r="DP29" i="2"/>
  <c r="DR29" i="2" s="1"/>
  <c r="DR4" i="2"/>
  <c r="GL4" i="2" s="1"/>
  <c r="FW4" i="2"/>
  <c r="FW15" i="2"/>
  <c r="DR15" i="2"/>
  <c r="GL15" i="2" s="1"/>
  <c r="FW13" i="2"/>
  <c r="DR13" i="2"/>
  <c r="GL13" i="2" s="1"/>
  <c r="DR19" i="2"/>
  <c r="GL19" i="2" s="1"/>
  <c r="FW19" i="2"/>
  <c r="FW18" i="2"/>
  <c r="DR18" i="2"/>
  <c r="GL18" i="2" s="1"/>
  <c r="FW25" i="2"/>
  <c r="FW11" i="2"/>
  <c r="DR11" i="2"/>
  <c r="GL11" i="2" s="1"/>
  <c r="FW9" i="2"/>
  <c r="DR9" i="2"/>
  <c r="GL9" i="2" s="1"/>
  <c r="DR14" i="2"/>
  <c r="GL14" i="2" s="1"/>
  <c r="FW14" i="2"/>
  <c r="FW24" i="2"/>
  <c r="FW10" i="2"/>
  <c r="DR10" i="2"/>
  <c r="GL10" i="2" s="1"/>
  <c r="DR5" i="2"/>
  <c r="GL5" i="2" s="1"/>
  <c r="FW5" i="2"/>
  <c r="DR27" i="2"/>
  <c r="GL27" i="2" s="1"/>
  <c r="FW27" i="2"/>
  <c r="DR12" i="2"/>
  <c r="GL12" i="2" s="1"/>
  <c r="FW12" i="2"/>
  <c r="FW6" i="2"/>
  <c r="DR6" i="2"/>
  <c r="GL6" i="2" s="1"/>
  <c r="DR21" i="2"/>
  <c r="GL21" i="2" s="1"/>
  <c r="FW21" i="2"/>
  <c r="DQ18" i="2" l="1"/>
  <c r="DQ4" i="2"/>
  <c r="DQ19" i="2"/>
  <c r="DQ20" i="2"/>
  <c r="DQ17" i="2"/>
  <c r="DQ12" i="2"/>
  <c r="DQ13" i="2"/>
  <c r="DQ28" i="2"/>
  <c r="DQ11" i="2"/>
  <c r="DQ25" i="2"/>
  <c r="DQ8" i="2"/>
  <c r="DQ14" i="2"/>
  <c r="DQ10" i="2"/>
  <c r="DQ6" i="2"/>
  <c r="DQ27" i="2"/>
  <c r="DQ15" i="2"/>
  <c r="DQ24" i="2"/>
  <c r="X25" i="2"/>
  <c r="X15" i="2"/>
  <c r="Y15" i="2"/>
  <c r="X17" i="2"/>
  <c r="Y17" i="2"/>
  <c r="Y10" i="2"/>
  <c r="X10" i="2"/>
  <c r="X12" i="2"/>
  <c r="X24" i="2"/>
  <c r="X8" i="2"/>
  <c r="FW29" i="2"/>
  <c r="Y14" i="2" s="1"/>
  <c r="Y4" i="2"/>
  <c r="X4" i="2"/>
  <c r="Y20" i="2"/>
  <c r="X20" i="2"/>
  <c r="X14" i="2"/>
  <c r="X18" i="2"/>
  <c r="X7" i="2"/>
  <c r="X27" i="2"/>
  <c r="X22" i="2"/>
  <c r="X6" i="2"/>
  <c r="X19" i="2"/>
  <c r="DQ7" i="2"/>
  <c r="DQ22" i="2"/>
  <c r="X23" i="2"/>
  <c r="X11" i="2"/>
  <c r="X21" i="2"/>
  <c r="Y21" i="2"/>
  <c r="X5" i="2"/>
  <c r="X9" i="2"/>
  <c r="X16" i="2"/>
  <c r="X26" i="2"/>
  <c r="DQ9" i="2"/>
  <c r="DQ16" i="2"/>
  <c r="DQ23" i="2"/>
  <c r="DQ26" i="2"/>
  <c r="DQ21" i="2"/>
  <c r="DQ5" i="2"/>
  <c r="Y13" i="2"/>
  <c r="X13" i="2"/>
  <c r="X28" i="2"/>
  <c r="DQ29" i="2" l="1"/>
  <c r="Y6" i="2"/>
  <c r="Y22" i="2"/>
  <c r="Y5" i="2"/>
  <c r="FL5" i="2" s="1"/>
  <c r="Y27" i="2"/>
  <c r="FL27" i="2" s="1"/>
  <c r="Y25" i="2"/>
  <c r="FK25" i="2" s="1"/>
  <c r="Y11" i="2"/>
  <c r="FL11" i="2" s="1"/>
  <c r="Y8" i="2"/>
  <c r="FK8" i="2" s="1"/>
  <c r="Y7" i="2"/>
  <c r="FL7" i="2" s="1"/>
  <c r="Y26" i="2"/>
  <c r="EP26" i="2" s="1"/>
  <c r="EQ26" i="2" s="1"/>
  <c r="EV26" i="2" s="1"/>
  <c r="Y23" i="2"/>
  <c r="FK23" i="2" s="1"/>
  <c r="Y24" i="2"/>
  <c r="FL24" i="2" s="1"/>
  <c r="FZ24" i="2" s="1"/>
  <c r="Y28" i="2"/>
  <c r="FL28" i="2" s="1"/>
  <c r="Y16" i="2"/>
  <c r="FL16" i="2" s="1"/>
  <c r="Y18" i="2"/>
  <c r="FL18" i="2" s="1"/>
  <c r="Y9" i="2"/>
  <c r="FL9" i="2" s="1"/>
  <c r="Y19" i="2"/>
  <c r="FK19" i="2" s="1"/>
  <c r="FK27" i="2"/>
  <c r="EP27" i="2"/>
  <c r="EQ27" i="2" s="1"/>
  <c r="EV27" i="2" s="1"/>
  <c r="FL10" i="2"/>
  <c r="FK10" i="2"/>
  <c r="EP10" i="2"/>
  <c r="EQ10" i="2" s="1"/>
  <c r="EV10" i="2" s="1"/>
  <c r="FL14" i="2"/>
  <c r="FK14" i="2"/>
  <c r="EP14" i="2"/>
  <c r="EQ14" i="2" s="1"/>
  <c r="EV14" i="2" s="1"/>
  <c r="FK17" i="2"/>
  <c r="FL17" i="2"/>
  <c r="EP17" i="2"/>
  <c r="EQ17" i="2" s="1"/>
  <c r="EV17" i="2" s="1"/>
  <c r="FK6" i="2"/>
  <c r="FL6" i="2"/>
  <c r="EP6" i="2"/>
  <c r="EQ6" i="2" s="1"/>
  <c r="EV6" i="2" s="1"/>
  <c r="FL20" i="2"/>
  <c r="FK20" i="2"/>
  <c r="EP20" i="2"/>
  <c r="EQ20" i="2" s="1"/>
  <c r="EV20" i="2" s="1"/>
  <c r="FL13" i="2"/>
  <c r="FK13" i="2"/>
  <c r="EP13" i="2"/>
  <c r="EQ13" i="2" s="1"/>
  <c r="EV13" i="2" s="1"/>
  <c r="FK15" i="2"/>
  <c r="FL15" i="2"/>
  <c r="EP15" i="2"/>
  <c r="EQ15" i="2" s="1"/>
  <c r="EV15" i="2" s="1"/>
  <c r="FK5" i="2"/>
  <c r="EP5" i="2"/>
  <c r="EQ5" i="2" s="1"/>
  <c r="EV5" i="2" s="1"/>
  <c r="X29" i="2"/>
  <c r="FL22" i="2"/>
  <c r="FK22" i="2"/>
  <c r="EP22" i="2"/>
  <c r="EQ22" i="2" s="1"/>
  <c r="EV22" i="2" s="1"/>
  <c r="FK21" i="2"/>
  <c r="FL21" i="2"/>
  <c r="EP21" i="2"/>
  <c r="EQ21" i="2" s="1"/>
  <c r="EV21" i="2" s="1"/>
  <c r="FL4" i="2"/>
  <c r="FK4" i="2"/>
  <c r="EP4" i="2"/>
  <c r="GL29" i="2"/>
  <c r="Y12" i="2"/>
  <c r="FL25" i="2" l="1"/>
  <c r="FZ25" i="2" s="1"/>
  <c r="EP7" i="2"/>
  <c r="EQ7" i="2" s="1"/>
  <c r="EV7" i="2" s="1"/>
  <c r="EP11" i="2"/>
  <c r="EQ11" i="2" s="1"/>
  <c r="EV11" i="2" s="1"/>
  <c r="EP24" i="2"/>
  <c r="EQ24" i="2" s="1"/>
  <c r="EV24" i="2" s="1"/>
  <c r="FK11" i="2"/>
  <c r="EP28" i="2"/>
  <c r="EQ28" i="2" s="1"/>
  <c r="EV28" i="2" s="1"/>
  <c r="FL26" i="2"/>
  <c r="EP8" i="2"/>
  <c r="EQ8" i="2" s="1"/>
  <c r="EV8" i="2" s="1"/>
  <c r="FY8" i="2" s="1"/>
  <c r="EP25" i="2"/>
  <c r="EQ25" i="2" s="1"/>
  <c r="EV25" i="2" s="1"/>
  <c r="FY25" i="2" s="1"/>
  <c r="GA25" i="2" s="1"/>
  <c r="GY25" i="2" s="1"/>
  <c r="FK7" i="2"/>
  <c r="FL8" i="2"/>
  <c r="FM8" i="2" s="1"/>
  <c r="GO8" i="2" s="1"/>
  <c r="EP23" i="2"/>
  <c r="EQ23" i="2" s="1"/>
  <c r="EV23" i="2" s="1"/>
  <c r="EX23" i="2" s="1"/>
  <c r="GN23" i="2" s="1"/>
  <c r="FK18" i="2"/>
  <c r="FL23" i="2"/>
  <c r="FZ23" i="2" s="1"/>
  <c r="EP18" i="2"/>
  <c r="EQ18" i="2" s="1"/>
  <c r="EV18" i="2" s="1"/>
  <c r="EX18" i="2" s="1"/>
  <c r="GN18" i="2" s="1"/>
  <c r="FK26" i="2"/>
  <c r="FK24" i="2"/>
  <c r="FK9" i="2"/>
  <c r="EP9" i="2"/>
  <c r="EQ9" i="2" s="1"/>
  <c r="EV9" i="2" s="1"/>
  <c r="EX9" i="2" s="1"/>
  <c r="GN9" i="2" s="1"/>
  <c r="FK28" i="2"/>
  <c r="EP19" i="2"/>
  <c r="EQ19" i="2" s="1"/>
  <c r="EV19" i="2" s="1"/>
  <c r="EX19" i="2" s="1"/>
  <c r="GN19" i="2" s="1"/>
  <c r="FL19" i="2"/>
  <c r="FM19" i="2" s="1"/>
  <c r="GO19" i="2" s="1"/>
  <c r="EP16" i="2"/>
  <c r="EQ16" i="2" s="1"/>
  <c r="EV16" i="2" s="1"/>
  <c r="FY16" i="2" s="1"/>
  <c r="FK16" i="2"/>
  <c r="Y29" i="2"/>
  <c r="FK29" i="2" s="1"/>
  <c r="FZ18" i="2"/>
  <c r="FM18" i="2"/>
  <c r="GO18" i="2" s="1"/>
  <c r="EX27" i="2"/>
  <c r="GN27" i="2" s="1"/>
  <c r="FY27" i="2"/>
  <c r="EQ4" i="2"/>
  <c r="EV4" i="2" s="1"/>
  <c r="FZ22" i="2"/>
  <c r="FM22" i="2"/>
  <c r="GO22" i="2" s="1"/>
  <c r="FZ6" i="2"/>
  <c r="FM6" i="2"/>
  <c r="GO6" i="2" s="1"/>
  <c r="FY15" i="2"/>
  <c r="EX15" i="2"/>
  <c r="GN15" i="2" s="1"/>
  <c r="FZ9" i="2"/>
  <c r="FM9" i="2"/>
  <c r="GO9" i="2" s="1"/>
  <c r="FZ27" i="2"/>
  <c r="FM27" i="2"/>
  <c r="GO27" i="2" s="1"/>
  <c r="FY7" i="2"/>
  <c r="EX7" i="2"/>
  <c r="GN7" i="2" s="1"/>
  <c r="FY11" i="2"/>
  <c r="EX11" i="2"/>
  <c r="GN11" i="2" s="1"/>
  <c r="FZ26" i="2"/>
  <c r="FM26" i="2"/>
  <c r="GO26" i="2" s="1"/>
  <c r="FY6" i="2"/>
  <c r="EX6" i="2"/>
  <c r="GN6" i="2" s="1"/>
  <c r="FM4" i="2"/>
  <c r="GO4" i="2" s="1"/>
  <c r="FZ4" i="2"/>
  <c r="EX8" i="2"/>
  <c r="GN8" i="2" s="1"/>
  <c r="FY22" i="2"/>
  <c r="EX22" i="2"/>
  <c r="GN22" i="2" s="1"/>
  <c r="EX21" i="2"/>
  <c r="GN21" i="2" s="1"/>
  <c r="FY21" i="2"/>
  <c r="FM7" i="2"/>
  <c r="GO7" i="2" s="1"/>
  <c r="FZ7" i="2"/>
  <c r="FZ13" i="2"/>
  <c r="FM13" i="2"/>
  <c r="GO13" i="2" s="1"/>
  <c r="FM28" i="2"/>
  <c r="GO28" i="2" s="1"/>
  <c r="FZ28" i="2"/>
  <c r="FM14" i="2"/>
  <c r="GO14" i="2" s="1"/>
  <c r="FZ14" i="2"/>
  <c r="FZ11" i="2"/>
  <c r="FM11" i="2"/>
  <c r="GO11" i="2" s="1"/>
  <c r="FY13" i="2"/>
  <c r="EX13" i="2"/>
  <c r="GN13" i="2" s="1"/>
  <c r="FM21" i="2"/>
  <c r="GO21" i="2" s="1"/>
  <c r="FZ21" i="2"/>
  <c r="FY5" i="2"/>
  <c r="EX5" i="2"/>
  <c r="GN5" i="2" s="1"/>
  <c r="FY10" i="2"/>
  <c r="EX10" i="2"/>
  <c r="GN10" i="2" s="1"/>
  <c r="FY28" i="2"/>
  <c r="EX28" i="2"/>
  <c r="GN28" i="2" s="1"/>
  <c r="FY17" i="2"/>
  <c r="EX17" i="2"/>
  <c r="GN17" i="2" s="1"/>
  <c r="FZ17" i="2"/>
  <c r="FM17" i="2"/>
  <c r="GO17" i="2" s="1"/>
  <c r="FZ15" i="2"/>
  <c r="FM15" i="2"/>
  <c r="GO15" i="2" s="1"/>
  <c r="FY24" i="2"/>
  <c r="GA24" i="2" s="1"/>
  <c r="GY24" i="2" s="1"/>
  <c r="EX14" i="2"/>
  <c r="GN14" i="2" s="1"/>
  <c r="FY14" i="2"/>
  <c r="FK12" i="2"/>
  <c r="FL12" i="2"/>
  <c r="EP12" i="2"/>
  <c r="EQ12" i="2" s="1"/>
  <c r="EV12" i="2" s="1"/>
  <c r="FY20" i="2"/>
  <c r="EX20" i="2"/>
  <c r="GN20" i="2" s="1"/>
  <c r="FY26" i="2"/>
  <c r="EX26" i="2"/>
  <c r="GN26" i="2" s="1"/>
  <c r="FZ5" i="2"/>
  <c r="FM5" i="2"/>
  <c r="GO5" i="2" s="1"/>
  <c r="FZ20" i="2"/>
  <c r="FM20" i="2"/>
  <c r="GO20" i="2" s="1"/>
  <c r="FM10" i="2"/>
  <c r="GO10" i="2" s="1"/>
  <c r="FZ10" i="2"/>
  <c r="FZ16" i="2"/>
  <c r="FM16" i="2"/>
  <c r="GO16" i="2" s="1"/>
  <c r="FZ8" i="2" l="1"/>
  <c r="FY19" i="2"/>
  <c r="FZ19" i="2"/>
  <c r="FM23" i="2"/>
  <c r="GO23" i="2" s="1"/>
  <c r="FY18" i="2"/>
  <c r="GA18" i="2" s="1"/>
  <c r="GB18" i="2" s="1"/>
  <c r="GP18" i="2" s="1"/>
  <c r="FY23" i="2"/>
  <c r="GA23" i="2" s="1"/>
  <c r="FY9" i="2"/>
  <c r="GA9" i="2" s="1"/>
  <c r="GY9" i="2" s="1"/>
  <c r="GA10" i="2"/>
  <c r="GY10" i="2" s="1"/>
  <c r="GA22" i="2"/>
  <c r="GB22" i="2" s="1"/>
  <c r="GP22" i="2" s="1"/>
  <c r="EX16" i="2"/>
  <c r="GN16" i="2" s="1"/>
  <c r="GA11" i="2"/>
  <c r="GB11" i="2" s="1"/>
  <c r="GP11" i="2" s="1"/>
  <c r="GA26" i="2"/>
  <c r="GY26" i="2" s="1"/>
  <c r="GA7" i="2"/>
  <c r="GY7" i="2" s="1"/>
  <c r="GA5" i="2"/>
  <c r="GY5" i="2" s="1"/>
  <c r="GA8" i="2"/>
  <c r="GY8" i="2" s="1"/>
  <c r="GA20" i="2"/>
  <c r="GY20" i="2" s="1"/>
  <c r="GA6" i="2"/>
  <c r="GA28" i="2"/>
  <c r="GY6" i="2"/>
  <c r="GB6" i="2"/>
  <c r="GP6" i="2" s="1"/>
  <c r="EV29" i="2"/>
  <c r="EW4" i="2" s="1"/>
  <c r="EX4" i="2"/>
  <c r="GN4" i="2" s="1"/>
  <c r="FY4" i="2"/>
  <c r="EP29" i="2"/>
  <c r="EX12" i="2"/>
  <c r="GN12" i="2" s="1"/>
  <c r="FY12" i="2"/>
  <c r="IR25" i="2"/>
  <c r="IX25" i="2" s="1"/>
  <c r="HC25" i="2"/>
  <c r="GA27" i="2"/>
  <c r="GA13" i="2"/>
  <c r="GA21" i="2"/>
  <c r="GA15" i="2"/>
  <c r="IR24" i="2"/>
  <c r="IX24" i="2" s="1"/>
  <c r="HC24" i="2"/>
  <c r="FM12" i="2"/>
  <c r="GO12" i="2" s="1"/>
  <c r="FZ12" i="2"/>
  <c r="GA14" i="2"/>
  <c r="GA17" i="2"/>
  <c r="GA16" i="2"/>
  <c r="GA19" i="2"/>
  <c r="FZ29" i="2" l="1"/>
  <c r="GY23" i="2"/>
  <c r="GB23" i="2"/>
  <c r="GP23" i="2" s="1"/>
  <c r="GY11" i="2"/>
  <c r="GB10" i="2"/>
  <c r="GP10" i="2" s="1"/>
  <c r="GB5" i="2"/>
  <c r="GP5" i="2" s="1"/>
  <c r="GY22" i="2"/>
  <c r="IR22" i="2" s="1"/>
  <c r="IX22" i="2" s="1"/>
  <c r="IY22" i="2" s="1"/>
  <c r="GB7" i="2"/>
  <c r="GP7" i="2" s="1"/>
  <c r="GB9" i="2"/>
  <c r="GP9" i="2" s="1"/>
  <c r="GB26" i="2"/>
  <c r="GP26" i="2" s="1"/>
  <c r="GY18" i="2"/>
  <c r="IR18" i="2" s="1"/>
  <c r="IX18" i="2" s="1"/>
  <c r="IY18" i="2" s="1"/>
  <c r="GB20" i="2"/>
  <c r="GP20" i="2" s="1"/>
  <c r="GB8" i="2"/>
  <c r="GP8" i="2" s="1"/>
  <c r="GA12" i="2"/>
  <c r="GY12" i="2" s="1"/>
  <c r="GY19" i="2"/>
  <c r="GB19" i="2"/>
  <c r="GP19" i="2" s="1"/>
  <c r="IR11" i="2"/>
  <c r="IX11" i="2" s="1"/>
  <c r="IY11" i="2" s="1"/>
  <c r="HA11" i="2"/>
  <c r="IR9" i="2"/>
  <c r="IX9" i="2" s="1"/>
  <c r="IY9" i="2" s="1"/>
  <c r="HA9" i="2"/>
  <c r="FY29" i="2"/>
  <c r="GA4" i="2"/>
  <c r="IR23" i="2"/>
  <c r="IX23" i="2" s="1"/>
  <c r="HA23" i="2"/>
  <c r="GY27" i="2"/>
  <c r="GB27" i="2"/>
  <c r="GP27" i="2" s="1"/>
  <c r="IR20" i="2"/>
  <c r="IX20" i="2" s="1"/>
  <c r="IY20" i="2" s="1"/>
  <c r="HA20" i="2"/>
  <c r="IR5" i="2"/>
  <c r="IX5" i="2" s="1"/>
  <c r="IY5" i="2" s="1"/>
  <c r="HA5" i="2"/>
  <c r="GO29" i="2"/>
  <c r="IR7" i="2"/>
  <c r="IX7" i="2" s="1"/>
  <c r="IY7" i="2" s="1"/>
  <c r="HA7" i="2"/>
  <c r="IR8" i="2"/>
  <c r="IX8" i="2" s="1"/>
  <c r="IY8" i="2" s="1"/>
  <c r="HA8" i="2"/>
  <c r="GY15" i="2"/>
  <c r="GB15" i="2"/>
  <c r="GP15" i="2" s="1"/>
  <c r="EX29" i="2"/>
  <c r="EW19" i="2"/>
  <c r="EW17" i="2"/>
  <c r="EW14" i="2"/>
  <c r="EW13" i="2"/>
  <c r="EW25" i="2"/>
  <c r="EW9" i="2"/>
  <c r="EW7" i="2"/>
  <c r="EW21" i="2"/>
  <c r="EW16" i="2"/>
  <c r="EW11" i="2"/>
  <c r="EW27" i="2"/>
  <c r="EW15" i="2"/>
  <c r="EW28" i="2"/>
  <c r="EW24" i="2"/>
  <c r="EW26" i="2"/>
  <c r="EW6" i="2"/>
  <c r="EW18" i="2"/>
  <c r="EW23" i="2"/>
  <c r="EW20" i="2"/>
  <c r="EW8" i="2"/>
  <c r="EW5" i="2"/>
  <c r="EW22" i="2"/>
  <c r="EW10" i="2"/>
  <c r="EW12" i="2"/>
  <c r="GY21" i="2"/>
  <c r="GB21" i="2"/>
  <c r="GP21" i="2" s="1"/>
  <c r="GY16" i="2"/>
  <c r="GB16" i="2"/>
  <c r="GP16" i="2" s="1"/>
  <c r="IR26" i="2"/>
  <c r="IX26" i="2" s="1"/>
  <c r="IY26" i="2" s="1"/>
  <c r="HA26" i="2"/>
  <c r="GY17" i="2"/>
  <c r="GB17" i="2"/>
  <c r="GP17" i="2" s="1"/>
  <c r="GY14" i="2"/>
  <c r="GB14" i="2"/>
  <c r="GP14" i="2" s="1"/>
  <c r="IR6" i="2"/>
  <c r="IX6" i="2" s="1"/>
  <c r="IY6" i="2" s="1"/>
  <c r="HA6" i="2"/>
  <c r="GY13" i="2"/>
  <c r="GB13" i="2"/>
  <c r="GP13" i="2" s="1"/>
  <c r="IR10" i="2"/>
  <c r="IX10" i="2" s="1"/>
  <c r="IY10" i="2" s="1"/>
  <c r="HA10" i="2"/>
  <c r="GY28" i="2"/>
  <c r="GB28" i="2"/>
  <c r="GP28" i="2" s="1"/>
  <c r="HA22" i="2" l="1"/>
  <c r="HA18" i="2"/>
  <c r="GB12" i="2"/>
  <c r="GP12" i="2" s="1"/>
  <c r="EW29" i="2"/>
  <c r="IT23" i="2"/>
  <c r="HB23" i="2"/>
  <c r="HC23" i="2" s="1"/>
  <c r="HT23" i="2"/>
  <c r="IR16" i="2"/>
  <c r="IX16" i="2" s="1"/>
  <c r="IY16" i="2" s="1"/>
  <c r="HA16" i="2"/>
  <c r="IR27" i="2"/>
  <c r="IX27" i="2" s="1"/>
  <c r="IY27" i="2" s="1"/>
  <c r="HA27" i="2"/>
  <c r="GN29" i="2"/>
  <c r="GA29" i="2"/>
  <c r="IT7" i="2"/>
  <c r="JB7" i="2" s="1"/>
  <c r="HT7" i="2"/>
  <c r="HB7" i="2"/>
  <c r="HC7" i="2" s="1"/>
  <c r="GY4" i="2"/>
  <c r="GB4" i="2"/>
  <c r="GP4" i="2" s="1"/>
  <c r="IZ6" i="2"/>
  <c r="JA6" i="2" s="1"/>
  <c r="JJ6" i="2"/>
  <c r="JJ22" i="2"/>
  <c r="IZ22" i="2"/>
  <c r="JA22" i="2" s="1"/>
  <c r="HB5" i="2"/>
  <c r="HC5" i="2" s="1"/>
  <c r="IT5" i="2"/>
  <c r="JB5" i="2" s="1"/>
  <c r="HT5" i="2"/>
  <c r="HT9" i="2"/>
  <c r="IT9" i="2"/>
  <c r="JB9" i="2" s="1"/>
  <c r="HB9" i="2"/>
  <c r="HC9" i="2" s="1"/>
  <c r="IR21" i="2"/>
  <c r="IX21" i="2" s="1"/>
  <c r="IY21" i="2" s="1"/>
  <c r="HA21" i="2"/>
  <c r="IR14" i="2"/>
  <c r="IX14" i="2" s="1"/>
  <c r="IY14" i="2" s="1"/>
  <c r="HA14" i="2"/>
  <c r="HI5" i="2"/>
  <c r="JJ5" i="2"/>
  <c r="IZ5" i="2"/>
  <c r="JA5" i="2"/>
  <c r="JJ9" i="2"/>
  <c r="IZ9" i="2"/>
  <c r="JA9" i="2" s="1"/>
  <c r="IT11" i="2"/>
  <c r="JB11" i="2" s="1"/>
  <c r="HB11" i="2"/>
  <c r="HC11" i="2" s="1"/>
  <c r="HT11" i="2"/>
  <c r="JJ10" i="2"/>
  <c r="IZ10" i="2"/>
  <c r="JA10" i="2" s="1"/>
  <c r="JJ11" i="2"/>
  <c r="IZ11" i="2"/>
  <c r="JA11" i="2" s="1"/>
  <c r="IR13" i="2"/>
  <c r="IX13" i="2" s="1"/>
  <c r="IY13" i="2" s="1"/>
  <c r="HA13" i="2"/>
  <c r="HT6" i="2"/>
  <c r="IT6" i="2"/>
  <c r="JB6" i="2" s="1"/>
  <c r="HB6" i="2"/>
  <c r="HC6" i="2" s="1"/>
  <c r="IT22" i="2"/>
  <c r="JB22" i="2" s="1"/>
  <c r="HB22" i="2"/>
  <c r="HC22" i="2" s="1"/>
  <c r="HT22" i="2"/>
  <c r="HT18" i="2"/>
  <c r="HB18" i="2"/>
  <c r="HC18" i="2" s="1"/>
  <c r="IT18" i="2"/>
  <c r="JB18" i="2" s="1"/>
  <c r="IT20" i="2"/>
  <c r="JB20" i="2" s="1"/>
  <c r="HT20" i="2"/>
  <c r="HB20" i="2"/>
  <c r="HC20" i="2" s="1"/>
  <c r="IR17" i="2"/>
  <c r="IX17" i="2" s="1"/>
  <c r="HA17" i="2"/>
  <c r="IR15" i="2"/>
  <c r="IX15" i="2" s="1"/>
  <c r="IY15" i="2" s="1"/>
  <c r="HA15" i="2"/>
  <c r="HT26" i="2"/>
  <c r="HB26" i="2"/>
  <c r="HC26" i="2" s="1"/>
  <c r="IT26" i="2"/>
  <c r="JB26" i="2" s="1"/>
  <c r="HT8" i="2"/>
  <c r="IT8" i="2"/>
  <c r="JB8" i="2" s="1"/>
  <c r="HB8" i="2"/>
  <c r="HC8" i="2" s="1"/>
  <c r="IR28" i="2"/>
  <c r="IX28" i="2" s="1"/>
  <c r="IY28" i="2" s="1"/>
  <c r="HA28" i="2"/>
  <c r="IZ26" i="2"/>
  <c r="JA26" i="2" s="1"/>
  <c r="JJ26" i="2"/>
  <c r="JJ8" i="2"/>
  <c r="IZ8" i="2"/>
  <c r="JA8" i="2" s="1"/>
  <c r="IZ18" i="2"/>
  <c r="JA18" i="2"/>
  <c r="JJ18" i="2"/>
  <c r="IR19" i="2"/>
  <c r="IX19" i="2" s="1"/>
  <c r="IY19" i="2" s="1"/>
  <c r="HA19" i="2"/>
  <c r="IR12" i="2"/>
  <c r="IX12" i="2" s="1"/>
  <c r="IY12" i="2" s="1"/>
  <c r="HA12" i="2"/>
  <c r="JJ7" i="2"/>
  <c r="IZ7" i="2"/>
  <c r="JA7" i="2" s="1"/>
  <c r="JJ20" i="2"/>
  <c r="IZ20" i="2"/>
  <c r="JA20" i="2" s="1"/>
  <c r="IT10" i="2"/>
  <c r="JB10" i="2" s="1"/>
  <c r="HB10" i="2"/>
  <c r="HC10" i="2" s="1"/>
  <c r="HT10" i="2"/>
  <c r="JM5" i="2" l="1"/>
  <c r="JL5" i="2"/>
  <c r="JL10" i="2"/>
  <c r="JM10" i="2"/>
  <c r="JM22" i="2"/>
  <c r="JL22" i="2"/>
  <c r="IT27" i="2"/>
  <c r="JB27" i="2" s="1"/>
  <c r="HT27" i="2"/>
  <c r="HB27" i="2"/>
  <c r="HC27" i="2" s="1"/>
  <c r="HW18" i="2"/>
  <c r="HV18" i="2"/>
  <c r="JA27" i="2"/>
  <c r="IZ27" i="2"/>
  <c r="JJ27" i="2"/>
  <c r="HV22" i="2"/>
  <c r="HW22" i="2"/>
  <c r="IZ14" i="2"/>
  <c r="JA14" i="2" s="1"/>
  <c r="JJ14" i="2"/>
  <c r="JL8" i="2"/>
  <c r="JM8" i="2"/>
  <c r="IT16" i="2"/>
  <c r="JB16" i="2" s="1"/>
  <c r="HT16" i="2"/>
  <c r="HB16" i="2"/>
  <c r="HC16" i="2" s="1"/>
  <c r="IZ19" i="2"/>
  <c r="JA19" i="2" s="1"/>
  <c r="JJ19" i="2"/>
  <c r="HW7" i="2"/>
  <c r="HV7" i="2"/>
  <c r="GP29" i="2"/>
  <c r="HW26" i="2"/>
  <c r="HV26" i="2"/>
  <c r="HB17" i="2"/>
  <c r="HC17" i="2" s="1"/>
  <c r="HT17" i="2"/>
  <c r="IT17" i="2"/>
  <c r="IZ21" i="2"/>
  <c r="JA21" i="2" s="1"/>
  <c r="JJ21" i="2"/>
  <c r="JJ16" i="2"/>
  <c r="IZ16" i="2"/>
  <c r="JA16" i="2" s="1"/>
  <c r="JL20" i="2"/>
  <c r="JM20" i="2"/>
  <c r="HB15" i="2"/>
  <c r="HC15" i="2" s="1"/>
  <c r="IT15" i="2"/>
  <c r="JB15" i="2" s="1"/>
  <c r="HT15" i="2"/>
  <c r="HW11" i="2"/>
  <c r="HV11" i="2"/>
  <c r="HB12" i="2"/>
  <c r="HC12" i="2" s="1"/>
  <c r="HT12" i="2"/>
  <c r="IT12" i="2"/>
  <c r="JB12" i="2" s="1"/>
  <c r="HW23" i="2"/>
  <c r="HV23" i="2"/>
  <c r="HW10" i="2"/>
  <c r="HV10" i="2"/>
  <c r="HW8" i="2"/>
  <c r="HV8" i="2"/>
  <c r="JL6" i="2"/>
  <c r="JM6" i="2"/>
  <c r="JM26" i="2"/>
  <c r="JL26" i="2"/>
  <c r="HB21" i="2"/>
  <c r="HC21" i="2" s="1"/>
  <c r="IT21" i="2"/>
  <c r="JB21" i="2" s="1"/>
  <c r="HT21" i="2"/>
  <c r="JM7" i="2"/>
  <c r="JL7" i="2"/>
  <c r="HW6" i="2"/>
  <c r="HV6" i="2"/>
  <c r="JJ12" i="2"/>
  <c r="IZ12" i="2"/>
  <c r="JA12" i="2"/>
  <c r="HT13" i="2"/>
  <c r="IT13" i="2"/>
  <c r="JB13" i="2" s="1"/>
  <c r="HB13" i="2"/>
  <c r="HC13" i="2" s="1"/>
  <c r="GY29" i="2"/>
  <c r="HA29" i="2" s="1"/>
  <c r="HT29" i="2" s="1"/>
  <c r="IR4" i="2"/>
  <c r="HI4" i="2"/>
  <c r="HA4" i="2"/>
  <c r="HW5" i="2"/>
  <c r="HV5" i="2"/>
  <c r="JM18" i="2"/>
  <c r="JL18" i="2"/>
  <c r="JM11" i="2"/>
  <c r="JL11" i="2"/>
  <c r="HB14" i="2"/>
  <c r="HT14" i="2"/>
  <c r="IT14" i="2"/>
  <c r="JB14" i="2" s="1"/>
  <c r="IZ15" i="2"/>
  <c r="JA15" i="2" s="1"/>
  <c r="JJ15" i="2"/>
  <c r="HT28" i="2"/>
  <c r="HB28" i="2"/>
  <c r="HC28" i="2" s="1"/>
  <c r="IT28" i="2"/>
  <c r="JB28" i="2" s="1"/>
  <c r="HT19" i="2"/>
  <c r="IT19" i="2"/>
  <c r="JB19" i="2" s="1"/>
  <c r="HB19" i="2"/>
  <c r="HC19" i="2" s="1"/>
  <c r="IZ28" i="2"/>
  <c r="JA28" i="2" s="1"/>
  <c r="JJ28" i="2"/>
  <c r="HW20" i="2"/>
  <c r="HV20" i="2"/>
  <c r="IZ13" i="2"/>
  <c r="JA13" i="2" s="1"/>
  <c r="JJ13" i="2"/>
  <c r="JM9" i="2"/>
  <c r="JL9" i="2"/>
  <c r="HW9" i="2"/>
  <c r="HV9" i="2"/>
  <c r="IY23" i="2"/>
  <c r="JB23" i="2" s="1"/>
  <c r="JM12" i="2" l="1"/>
  <c r="JL12" i="2"/>
  <c r="IR29" i="2"/>
  <c r="IX4" i="2"/>
  <c r="JM16" i="2"/>
  <c r="JL16" i="2"/>
  <c r="HW28" i="2"/>
  <c r="HV28" i="2"/>
  <c r="HI6" i="2"/>
  <c r="HJ5" i="2" s="1"/>
  <c r="HW12" i="2"/>
  <c r="HV12" i="2"/>
  <c r="JM21" i="2"/>
  <c r="JL21" i="2"/>
  <c r="HW27" i="2"/>
  <c r="HV27" i="2"/>
  <c r="HB4" i="2"/>
  <c r="IT4" i="2"/>
  <c r="HT4" i="2"/>
  <c r="JL14" i="2"/>
  <c r="JM14" i="2"/>
  <c r="HW14" i="2"/>
  <c r="HV14" i="2"/>
  <c r="HC14" i="2"/>
  <c r="HL5" i="2" s="1"/>
  <c r="HK5" i="2"/>
  <c r="HW13" i="2"/>
  <c r="HV13" i="2"/>
  <c r="JM19" i="2"/>
  <c r="JL19" i="2"/>
  <c r="JM13" i="2"/>
  <c r="JL13" i="2"/>
  <c r="HW21" i="2"/>
  <c r="HV21" i="2"/>
  <c r="JM28" i="2"/>
  <c r="JL28" i="2"/>
  <c r="JJ23" i="2"/>
  <c r="IZ23" i="2"/>
  <c r="JA23" i="2" s="1"/>
  <c r="IY17" i="2"/>
  <c r="JL27" i="2"/>
  <c r="JM27" i="2"/>
  <c r="HV16" i="2"/>
  <c r="HW16" i="2"/>
  <c r="JM15" i="2"/>
  <c r="JL15" i="2"/>
  <c r="HW29" i="2"/>
  <c r="IF4" i="2"/>
  <c r="IG4" i="2" s="1"/>
  <c r="HV29" i="2"/>
  <c r="HW19" i="2"/>
  <c r="HV19" i="2"/>
  <c r="HW15" i="2"/>
  <c r="HV15" i="2"/>
  <c r="HW17" i="2"/>
  <c r="HV17" i="2"/>
  <c r="HJ4" i="2" l="1"/>
  <c r="HJ6" i="2" s="1"/>
  <c r="IT29" i="2"/>
  <c r="JM23" i="2"/>
  <c r="JL23" i="2"/>
  <c r="IX29" i="2"/>
  <c r="IY29" i="2" s="1"/>
  <c r="JJ29" i="2" s="1"/>
  <c r="IY4" i="2"/>
  <c r="HW4" i="2"/>
  <c r="HV4" i="2"/>
  <c r="HB29" i="2"/>
  <c r="HC4" i="2"/>
  <c r="HK4" i="2"/>
  <c r="HK6" i="2" s="1"/>
  <c r="JJ17" i="2"/>
  <c r="IZ17" i="2"/>
  <c r="JA17" i="2" s="1"/>
  <c r="JB17" i="2"/>
  <c r="IZ4" i="2" l="1"/>
  <c r="IZ29" i="2" s="1"/>
  <c r="JJ4" i="2"/>
  <c r="JM29" i="2"/>
  <c r="JL29" i="2"/>
  <c r="JM17" i="2"/>
  <c r="JL17" i="2"/>
  <c r="HC29" i="2"/>
  <c r="HL4" i="2"/>
  <c r="HL6" i="2" s="1"/>
  <c r="JB4" i="2"/>
  <c r="JM4" i="2" l="1"/>
  <c r="JL4" i="2"/>
  <c r="JA4" i="2"/>
  <c r="JA29" i="2" s="1"/>
</calcChain>
</file>

<file path=xl/sharedStrings.xml><?xml version="1.0" encoding="utf-8"?>
<sst xmlns="http://schemas.openxmlformats.org/spreadsheetml/2006/main" count="1688" uniqueCount="428">
  <si>
    <t>Schedule 1: Adjustments Summary</t>
  </si>
  <si>
    <t>Schedule 1a: Net Income Summary</t>
  </si>
  <si>
    <t>Schedule 1b: Labour Efficiency and Cost Summary</t>
  </si>
  <si>
    <t>Schedule 1c: Previous Year Summary</t>
  </si>
  <si>
    <t>Schedule 2: Direct Labour</t>
  </si>
  <si>
    <t>Schedule 3: Collector Labour</t>
  </si>
  <si>
    <t>Schedule 4: Overhead Labour</t>
  </si>
  <si>
    <t>Schedule 5: Building Costs</t>
  </si>
  <si>
    <t>Schedule 6: Equipment Costs</t>
  </si>
  <si>
    <t>Schedule 7: Vehicle Costs</t>
  </si>
  <si>
    <t>Schedule 8: Overhead Costs</t>
  </si>
  <si>
    <t>Schedule 9: Miscellaneous Revenue</t>
  </si>
  <si>
    <t>Schedule 10: Revenue</t>
  </si>
  <si>
    <t>Schedule 10a: Calculation of Total System Ratios</t>
  </si>
  <si>
    <t>Schedule 10b: Revenues</t>
  </si>
  <si>
    <t>Schedule 10c: Total System Costs</t>
  </si>
  <si>
    <t>Schedule 11a: Calculation of Ratios</t>
  </si>
  <si>
    <t>Schedule 11b: Revenues</t>
  </si>
  <si>
    <t>Schedule 11c: Target Year Costs</t>
  </si>
  <si>
    <t>Schedule 11d: Net Income Calculations</t>
  </si>
  <si>
    <t>Schedule 11e: Total Return Calculation</t>
  </si>
  <si>
    <t xml:space="preserve"> Schedule 12: Target Year Revenue Requirement</t>
  </si>
  <si>
    <t>Schedule 13: Comparison to Previous HCR</t>
  </si>
  <si>
    <t>2024 Fiscal Year As Accepted</t>
  </si>
  <si>
    <t>2024 Fiscal Year As Adjusted</t>
  </si>
  <si>
    <t>Total System</t>
  </si>
  <si>
    <t>Target System (Current HC)</t>
  </si>
  <si>
    <t>Total Change</t>
  </si>
  <si>
    <t>2004 Fiscal Year As Reported</t>
  </si>
  <si>
    <t>2005 Fiscal Year As Reported</t>
  </si>
  <si>
    <t>2006 Fiscal Year As Reported</t>
  </si>
  <si>
    <t>2007 Fiscal Year As Reported</t>
  </si>
  <si>
    <t>2008 Fiscal Year As Reported</t>
  </si>
  <si>
    <t>2009/10 Fiscal Year As Reported</t>
  </si>
  <si>
    <t>2012/13 Fiscal Year As Reported</t>
  </si>
  <si>
    <t>2015 Fiscal Year As Reported</t>
  </si>
  <si>
    <t>2020 Fiscal Year As Accepted</t>
  </si>
  <si>
    <t>2021 Fiscal Year As Accepted</t>
  </si>
  <si>
    <t>2022 Fiscal Year As Accepted</t>
  </si>
  <si>
    <t>2023 Fiscal Year As Accepted</t>
  </si>
  <si>
    <t>Per Container or Hour</t>
  </si>
  <si>
    <t>2024 Fiscal Year As Adjusted 
(After Collections Cost Cap)</t>
  </si>
  <si>
    <t>Miscellaneous Revenue</t>
  </si>
  <si>
    <t>Deposits</t>
  </si>
  <si>
    <t>Handling Commissions</t>
  </si>
  <si>
    <t>Depot Viability Handling Commissions</t>
  </si>
  <si>
    <t>Total Revenue</t>
  </si>
  <si>
    <t>Direct Labour</t>
  </si>
  <si>
    <t>Collector Labour</t>
  </si>
  <si>
    <t>Overhead Labour</t>
  </si>
  <si>
    <t>Building</t>
  </si>
  <si>
    <t>Vehicle</t>
  </si>
  <si>
    <t>Fuel</t>
  </si>
  <si>
    <t>Equipment</t>
  </si>
  <si>
    <t>Overhead</t>
  </si>
  <si>
    <t>Summary</t>
  </si>
  <si>
    <t>Base Handling Commissions</t>
  </si>
  <si>
    <t>Depot Viability HC</t>
  </si>
  <si>
    <t>Contract Labour</t>
  </si>
  <si>
    <t>Total Operating Expense</t>
  </si>
  <si>
    <t>Total Operating Expenses</t>
  </si>
  <si>
    <t>Net Income Before Tax</t>
  </si>
  <si>
    <t>Cost</t>
  </si>
  <si>
    <t>Cost per Container (¢)</t>
  </si>
  <si>
    <t xml:space="preserve">Difference (Accepted to Adjusted) </t>
  </si>
  <si>
    <t>Difference (Adjusted to Total System)</t>
  </si>
  <si>
    <t>Difference (Total System to Target System)</t>
  </si>
  <si>
    <t>Difference (Accepted to Target System)</t>
  </si>
  <si>
    <t xml:space="preserve">% Change (Accepted to Target System) </t>
  </si>
  <si>
    <t>Small</t>
  </si>
  <si>
    <t>Medium</t>
  </si>
  <si>
    <t>Large</t>
  </si>
  <si>
    <t>Total</t>
  </si>
  <si>
    <t xml:space="preserve">Cost per Container (¢) </t>
  </si>
  <si>
    <t>Percent Change</t>
  </si>
  <si>
    <t>% Change</t>
  </si>
  <si>
    <t>% Change From 2004</t>
  </si>
  <si>
    <t>Ave. Annual</t>
  </si>
  <si>
    <t>Hours</t>
  </si>
  <si>
    <t>Salary &amp; Wages</t>
  </si>
  <si>
    <t>Benefits</t>
  </si>
  <si>
    <t>Size Class</t>
  </si>
  <si>
    <t xml:space="preserve">Hours </t>
  </si>
  <si>
    <t>$</t>
  </si>
  <si>
    <t>$ 
(Less Collection Costs Cap)</t>
  </si>
  <si>
    <t>Business Vehicle Cost</t>
  </si>
  <si>
    <t>Offsite Collections Vehicle Cost*</t>
  </si>
  <si>
    <t>Total Vehicle Cost*</t>
  </si>
  <si>
    <t>Total (Less Offsite Collections Cap)</t>
  </si>
  <si>
    <t xml:space="preserve">Total </t>
  </si>
  <si>
    <t>Volume Cluster</t>
  </si>
  <si>
    <t>Depots in Study System</t>
  </si>
  <si>
    <t>Depots In Total System</t>
  </si>
  <si>
    <t>Study System Depots, FY2024 Volume</t>
  </si>
  <si>
    <t>Total System Depots Calendar Year Volume</t>
  </si>
  <si>
    <t>Depot Ratio</t>
  </si>
  <si>
    <t>Volume Ratio</t>
  </si>
  <si>
    <t>Percent Small</t>
  </si>
  <si>
    <t>Percent Medium</t>
  </si>
  <si>
    <t>Percent Large</t>
  </si>
  <si>
    <t>Study System</t>
  </si>
  <si>
    <t>Total System 
(b * c)</t>
  </si>
  <si>
    <t xml:space="preserve">Total System </t>
  </si>
  <si>
    <t>Study System 
(c + g + i)</t>
  </si>
  <si>
    <t>Total System 
(d + h + j)</t>
  </si>
  <si>
    <t>Total System 
(c x d)</t>
  </si>
  <si>
    <t>Total System 
(c x f)</t>
  </si>
  <si>
    <t>Total System 
(b x h)</t>
  </si>
  <si>
    <t>Total System (Calculated)</t>
  </si>
  <si>
    <t>Total System 
(c x l)</t>
  </si>
  <si>
    <t>Total System 
(c x o)</t>
  </si>
  <si>
    <t>Total System 
(c x q)</t>
  </si>
  <si>
    <t>Total System 
(c x w)</t>
  </si>
  <si>
    <t>Study System Total Operating Cost*</t>
  </si>
  <si>
    <t>Total System Total Operating Cost**</t>
  </si>
  <si>
    <t>Total System Cost 
(¢ / container)</t>
  </si>
  <si>
    <t>Total System Depots</t>
  </si>
  <si>
    <t>Target Year Depots</t>
  </si>
  <si>
    <t>Total System  Volume</t>
  </si>
  <si>
    <t>Target Year Volume</t>
  </si>
  <si>
    <t>Total System Ratio</t>
  </si>
  <si>
    <t>FY Quarter</t>
  </si>
  <si>
    <t>Target Year</t>
  </si>
  <si>
    <t>Total System 
(d +  h + j)</t>
  </si>
  <si>
    <t>Target System 
(e + i + k)</t>
  </si>
  <si>
    <t>Study System Volume Cluster</t>
  </si>
  <si>
    <t>FY 2024 Index (2002 = 100.0)</t>
  </si>
  <si>
    <r>
      <t xml:space="preserve">Target Year 
</t>
    </r>
    <r>
      <rPr>
        <b/>
        <sz val="9"/>
        <color theme="0"/>
        <rFont val="Segoe UI Semibold"/>
        <family val="2"/>
      </rPr>
      <t>(j + l + n + p + r + t)</t>
    </r>
  </si>
  <si>
    <t>Item</t>
  </si>
  <si>
    <t>Amount</t>
  </si>
  <si>
    <t>Existing Handling Commissions - Target Year Forecast</t>
  </si>
  <si>
    <t>Proposed Handling Commissions - Target Year Forecast</t>
  </si>
  <si>
    <t>AUR 2024
Schedule 12 Column A</t>
  </si>
  <si>
    <t>2025/26 HCR Schedule 12 Column A</t>
  </si>
  <si>
    <t>Difference</t>
  </si>
  <si>
    <t>No.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</si>
  <si>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</si>
  <si>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</si>
  <si>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</si>
  <si>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</si>
  <si>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</si>
  <si>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</si>
  <si>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</si>
  <si>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</si>
  <si>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</si>
  <si>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</si>
  <si>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</si>
  <si>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</si>
  <si>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</si>
  <si>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(c)</t>
  </si>
  <si>
    <t>(n)</t>
  </si>
  <si>
    <t>(o)</t>
  </si>
  <si>
    <t>(p)</t>
  </si>
  <si>
    <t>(q)</t>
  </si>
  <si>
    <t>(r)</t>
  </si>
  <si>
    <t>(s)</t>
  </si>
  <si>
    <t>(t)</t>
  </si>
  <si>
    <t>(u)</t>
  </si>
  <si>
    <t xml:space="preserve"> No.</t>
  </si>
  <si>
    <t xml:space="preserve">(r) </t>
  </si>
  <si>
    <t>(v)</t>
  </si>
  <si>
    <t xml:space="preserve">(c) </t>
  </si>
  <si>
    <t xml:space="preserve">(e) </t>
  </si>
  <si>
    <t xml:space="preserve">(s) </t>
  </si>
  <si>
    <t>($)</t>
  </si>
  <si>
    <t>(%)</t>
  </si>
  <si>
    <t>Revenue</t>
  </si>
  <si>
    <t>Sq. Ft.</t>
  </si>
  <si>
    <t>CCA</t>
  </si>
  <si>
    <t>Overhead - Office</t>
  </si>
  <si>
    <t>Cardboard Sales</t>
  </si>
  <si>
    <t>Volume</t>
  </si>
  <si>
    <t>Target Year Indexed Rate</t>
  </si>
  <si>
    <t>Cost of Goods Sold Calculation</t>
  </si>
  <si>
    <t>Net Income before Tax</t>
  </si>
  <si>
    <t>Building CCA</t>
  </si>
  <si>
    <t>Lease Payments</t>
  </si>
  <si>
    <t>Office Expenses</t>
  </si>
  <si>
    <t>Pick-up Fees</t>
  </si>
  <si>
    <t>Operating Expenses</t>
  </si>
  <si>
    <t>Less Purchases</t>
  </si>
  <si>
    <t>¢ per container</t>
  </si>
  <si>
    <t>S/Container</t>
  </si>
  <si>
    <t>Use Costs incl. Mortgage Interest</t>
  </si>
  <si>
    <t>Operating Costs</t>
  </si>
  <si>
    <t>Shop Supplies</t>
  </si>
  <si>
    <t>Other Recycling</t>
  </si>
  <si>
    <t>Less: Purchases</t>
  </si>
  <si>
    <t>Base Handling Commission</t>
  </si>
  <si>
    <t>$/Hour</t>
  </si>
  <si>
    <t>Gross Margin (HC)</t>
  </si>
  <si>
    <t>Utilities</t>
  </si>
  <si>
    <t>Telephone</t>
  </si>
  <si>
    <t>Wine Bottle Sales</t>
  </si>
  <si>
    <t>Gross Margin</t>
  </si>
  <si>
    <t>Cost of Goods Sold (#2+#3)</t>
  </si>
  <si>
    <t>Base Handling Commissions (HC)</t>
  </si>
  <si>
    <t>Misc Revenue</t>
  </si>
  <si>
    <t>Deemed Lease Cost</t>
  </si>
  <si>
    <t>* Less Offsite Collections Cost Cap</t>
  </si>
  <si>
    <t>Charitable Donations</t>
  </si>
  <si>
    <t>Value Add Fee (VAF)</t>
  </si>
  <si>
    <t>Pre-Tax Margin Calculation</t>
  </si>
  <si>
    <t>Total Margin</t>
  </si>
  <si>
    <t>Deemed Usage Cost</t>
  </si>
  <si>
    <t>Internet</t>
  </si>
  <si>
    <t>COVID Subsidy</t>
  </si>
  <si>
    <t>Return Margin (Combined)</t>
  </si>
  <si>
    <t>Net Revenue</t>
  </si>
  <si>
    <t>Expenses</t>
  </si>
  <si>
    <t>Bank Charges</t>
  </si>
  <si>
    <t>Other Revenue</t>
  </si>
  <si>
    <t>Revenues Required (#4/(1-#6))</t>
  </si>
  <si>
    <t>Professional Fees (Accounting/Legal)</t>
  </si>
  <si>
    <t>Pre-Tax Margin (#7-#4)</t>
  </si>
  <si>
    <t>Contract / Collector Labour</t>
  </si>
  <si>
    <t>Training Courses  (3rd Party)</t>
  </si>
  <si>
    <t>Marketing and Promotions</t>
  </si>
  <si>
    <t>Advertising</t>
  </si>
  <si>
    <t>Equipment and Vehicles</t>
  </si>
  <si>
    <t>Other Insurance (non-property)</t>
  </si>
  <si>
    <t>Municipal Taxes &amp; License Fees</t>
  </si>
  <si>
    <t>Other Office costs</t>
  </si>
  <si>
    <t>Earnings Before Taxes</t>
  </si>
  <si>
    <t>Sub Total</t>
  </si>
  <si>
    <t>Total Expenses</t>
  </si>
  <si>
    <t>System Data</t>
  </si>
  <si>
    <t>Overhead - Fees</t>
  </si>
  <si>
    <t>Difference (As Accepted Data to Target System Data)</t>
  </si>
  <si>
    <t>Total Container Volume</t>
  </si>
  <si>
    <t>BCMB Fines / Levies</t>
  </si>
  <si>
    <t xml:space="preserve">System Data </t>
  </si>
  <si>
    <t xml:space="preserve">Percent Change (As Accepted Data to Target System Data) </t>
  </si>
  <si>
    <t>Number of Depots</t>
  </si>
  <si>
    <t>ABDA Fees</t>
  </si>
  <si>
    <t>Total Return</t>
  </si>
  <si>
    <t>POR Fees</t>
  </si>
  <si>
    <t>Pre-Tax Return</t>
  </si>
  <si>
    <t xml:space="preserve">Number of Depots </t>
  </si>
  <si>
    <t>Revenue Requirement</t>
  </si>
  <si>
    <t>Overhead - Other</t>
  </si>
  <si>
    <t>Q3</t>
  </si>
  <si>
    <t>Removal of Interest and Dividend Revenues per HC Agreement</t>
  </si>
  <si>
    <t>Non-labour collection costs</t>
  </si>
  <si>
    <t>Total System as a % of Study System</t>
  </si>
  <si>
    <t>Target Year as a % of Total System</t>
  </si>
  <si>
    <t xml:space="preserve">*note: revenue and expenses exclude deposits as these are a net zero item. </t>
  </si>
  <si>
    <t>Addition of Direct Labour costs per HC Agreement</t>
  </si>
  <si>
    <t>Deposit incentives</t>
  </si>
  <si>
    <t>* (d + f + h + j + l + n + p + r)</t>
  </si>
  <si>
    <t>Revised Revenue Requirement</t>
  </si>
  <si>
    <t>Goodwill - Current Year CCA</t>
  </si>
  <si>
    <t>** (e + g + i + k + m + o + q + s)</t>
  </si>
  <si>
    <t>DVHC Revenues</t>
  </si>
  <si>
    <t>Shrinkage</t>
  </si>
  <si>
    <t>Handling Commission Revenues</t>
  </si>
  <si>
    <t>Other costs</t>
  </si>
  <si>
    <t>Total Revenue at Current Rates</t>
  </si>
  <si>
    <t>Proposed Rate Increase</t>
  </si>
  <si>
    <t>Overhead - Table 9</t>
  </si>
  <si>
    <t>Table 9 Collections costs</t>
  </si>
  <si>
    <t>Table 9 Deposit Incentives</t>
  </si>
  <si>
    <t>Table 9 Cash &amp; Shrinkage</t>
  </si>
  <si>
    <t>Schedule 1: Revenue Requirement Summary</t>
  </si>
  <si>
    <t>Schedule 2: Volume and Pallet Allocators</t>
  </si>
  <si>
    <t xml:space="preserve">Schedule 3: Business Cost Allocator </t>
  </si>
  <si>
    <t>Schedule 4: Time and Motion Expert Seconds per Container</t>
  </si>
  <si>
    <t>Schedule 5: Direct and Collector Target Year Hours and Cost</t>
  </si>
  <si>
    <t>Schedule 6: Direct and Collector Labour Cost</t>
  </si>
  <si>
    <t>Schedule 7: Overhead Labour Allocators</t>
  </si>
  <si>
    <t xml:space="preserve">Schedule 8: Overhead Labour </t>
  </si>
  <si>
    <t>Schedule 9: Building Allocators</t>
  </si>
  <si>
    <t>Schedule 10: Building</t>
  </si>
  <si>
    <t>Schedule 11: Equipment Allocators</t>
  </si>
  <si>
    <t xml:space="preserve">Schedule 12: Equipment </t>
  </si>
  <si>
    <t>Schedule 13: Vehicle</t>
  </si>
  <si>
    <t>Schedule 14: Overhead Allocators</t>
  </si>
  <si>
    <t>Schedule 15: Overhead</t>
  </si>
  <si>
    <t>Schedule 16: Return and Miscellaneous Summary</t>
  </si>
  <si>
    <t>Schedule 17: Return</t>
  </si>
  <si>
    <t>Schedule 18: Cost Per Container Stream Summary</t>
  </si>
  <si>
    <t>Schedule 19: Cost per Container Summary</t>
  </si>
  <si>
    <t>Schedule 20: Revenue Surplus / Shortfall</t>
  </si>
  <si>
    <t>Schedule 21: Revenue Surplus / Shortfall by Manufacturer</t>
  </si>
  <si>
    <t>Schedule 22: Pre-Depot Viability Handling Commission Change</t>
  </si>
  <si>
    <t>Schedule 23: Depot Viability Handling Commissions Summary</t>
  </si>
  <si>
    <t>Schedule 24: Depot Viability Handling Commissions by Container Stream</t>
  </si>
  <si>
    <t>Schedule 25: Handling Commission Change</t>
  </si>
  <si>
    <t>Target Year Revenue Requirement</t>
  </si>
  <si>
    <t>Percent of Total Cost</t>
  </si>
  <si>
    <r>
      <t xml:space="preserve">Unit Cost </t>
    </r>
    <r>
      <rPr>
        <b/>
        <i/>
        <sz val="11"/>
        <color theme="0"/>
        <rFont val="Segoe UI Semibold"/>
        <family val="2"/>
      </rPr>
      <t>(¢/container)</t>
    </r>
  </si>
  <si>
    <t>Forecast Group</t>
  </si>
  <si>
    <t>Container Stream</t>
  </si>
  <si>
    <t>Target Year Volume Forecast
Volume</t>
  </si>
  <si>
    <t>Target Year Volume Allocator</t>
  </si>
  <si>
    <t>Containers per  Pallet</t>
  </si>
  <si>
    <t>Total Pallets</t>
  </si>
  <si>
    <t>Pallet Allocator</t>
  </si>
  <si>
    <t>Manufacturer</t>
  </si>
  <si>
    <t xml:space="preserve">Business Costs </t>
  </si>
  <si>
    <t>Business Cost Allocator</t>
  </si>
  <si>
    <t>Total Time (s)</t>
  </si>
  <si>
    <t>Time Per Container</t>
  </si>
  <si>
    <t>Target Year Forecast</t>
  </si>
  <si>
    <t>Direct and Collector Labour Hours</t>
  </si>
  <si>
    <t>Target Year Direct and Collector Labour Hours</t>
  </si>
  <si>
    <t>Loaded Hourly Rate ($/Hour)</t>
  </si>
  <si>
    <r>
      <t xml:space="preserve">Total Direct &amp; Collector Labour
 Cost </t>
    </r>
    <r>
      <rPr>
        <b/>
        <i/>
        <sz val="11"/>
        <color theme="0"/>
        <rFont val="Segoe UI Semibold"/>
        <family val="2"/>
      </rPr>
      <t>(</t>
    </r>
    <r>
      <rPr>
        <i/>
        <sz val="11"/>
        <color theme="0"/>
        <rFont val="Segoe UI Semibold"/>
        <family val="2"/>
      </rPr>
      <t>$</t>
    </r>
    <r>
      <rPr>
        <b/>
        <i/>
        <sz val="11"/>
        <color theme="0"/>
        <rFont val="Segoe UI Semibold"/>
        <family val="2"/>
      </rPr>
      <t>)</t>
    </r>
  </si>
  <si>
    <t>Direct and Collector Labour Allocator</t>
  </si>
  <si>
    <r>
      <t xml:space="preserve">Unit Cost </t>
    </r>
    <r>
      <rPr>
        <i/>
        <sz val="11"/>
        <color theme="0"/>
        <rFont val="Segoe UI Semibold"/>
        <family val="2"/>
      </rPr>
      <t>(¢/container)</t>
    </r>
  </si>
  <si>
    <t>Cost Classification</t>
  </si>
  <si>
    <t>% of Total</t>
  </si>
  <si>
    <t>Total Overhead Cost</t>
  </si>
  <si>
    <t>Direct and Collector Labour Cost</t>
  </si>
  <si>
    <t>Volume Cost</t>
  </si>
  <si>
    <r>
      <t xml:space="preserve">Overhead Labour Cost 
</t>
    </r>
    <r>
      <rPr>
        <b/>
        <i/>
        <sz val="11"/>
        <color theme="0"/>
        <rFont val="Segoe UI Semibold"/>
        <family val="2"/>
      </rPr>
      <t>($)</t>
    </r>
  </si>
  <si>
    <t>%
Reported</t>
  </si>
  <si>
    <t>Cost
($)</t>
  </si>
  <si>
    <t>Volume Classification Factor</t>
  </si>
  <si>
    <t>Pallet Classification Factor</t>
  </si>
  <si>
    <t>Volume Classification ($)</t>
  </si>
  <si>
    <t>Pallet Classification ($)</t>
  </si>
  <si>
    <t>Volume Allocator</t>
  </si>
  <si>
    <r>
      <t xml:space="preserve">Volume
Cost 
</t>
    </r>
    <r>
      <rPr>
        <b/>
        <i/>
        <sz val="11"/>
        <color theme="0"/>
        <rFont val="Segoe UI Semibold"/>
        <family val="2"/>
      </rPr>
      <t>($)</t>
    </r>
  </si>
  <si>
    <t xml:space="preserve"> Pallet Allocator</t>
  </si>
  <si>
    <r>
      <t xml:space="preserve">Total Pallet Cost 
</t>
    </r>
    <r>
      <rPr>
        <b/>
        <i/>
        <sz val="11"/>
        <color theme="0"/>
        <rFont val="Segoe UI Semibold"/>
        <family val="2"/>
      </rPr>
      <t>($)</t>
    </r>
  </si>
  <si>
    <r>
      <t xml:space="preserve">Total Building Cost
</t>
    </r>
    <r>
      <rPr>
        <b/>
        <i/>
        <sz val="11"/>
        <color theme="0"/>
        <rFont val="Segoe UI Semibold"/>
        <family val="2"/>
      </rPr>
      <t>($)</t>
    </r>
  </si>
  <si>
    <t>Building Allocator</t>
  </si>
  <si>
    <t>Equipment Cost Classification</t>
  </si>
  <si>
    <t>Total Equipment Cost</t>
  </si>
  <si>
    <r>
      <t xml:space="preserve">Building Cost
</t>
    </r>
    <r>
      <rPr>
        <b/>
        <i/>
        <sz val="11"/>
        <color theme="0"/>
        <rFont val="Segoe UI Semibold"/>
        <family val="2"/>
      </rPr>
      <t>($)</t>
    </r>
  </si>
  <si>
    <r>
      <t xml:space="preserve">Pallet Cost 
</t>
    </r>
    <r>
      <rPr>
        <b/>
        <i/>
        <sz val="11"/>
        <color theme="0"/>
        <rFont val="Segoe UI Semibold"/>
        <family val="2"/>
      </rPr>
      <t>($)</t>
    </r>
  </si>
  <si>
    <r>
      <t xml:space="preserve">Volume Cost
</t>
    </r>
    <r>
      <rPr>
        <b/>
        <i/>
        <sz val="11"/>
        <color theme="0"/>
        <rFont val="Segoe UI Semibold"/>
        <family val="2"/>
      </rPr>
      <t>($)</t>
    </r>
  </si>
  <si>
    <r>
      <t xml:space="preserve">Total Equipment Cost
</t>
    </r>
    <r>
      <rPr>
        <b/>
        <i/>
        <sz val="11"/>
        <color theme="0"/>
        <rFont val="Segoe UI Semibold"/>
        <family val="2"/>
      </rPr>
      <t>($)</t>
    </r>
  </si>
  <si>
    <t>% of
Total</t>
  </si>
  <si>
    <r>
      <t xml:space="preserve">Total Vehicle Cost
</t>
    </r>
    <r>
      <rPr>
        <b/>
        <i/>
        <sz val="11"/>
        <color theme="0"/>
        <rFont val="Segoe UI Semibold"/>
        <family val="2"/>
      </rPr>
      <t>($)</t>
    </r>
  </si>
  <si>
    <t>As Adjusted Cost</t>
  </si>
  <si>
    <r>
      <t xml:space="preserve">Business Cost 
</t>
    </r>
    <r>
      <rPr>
        <b/>
        <i/>
        <sz val="11"/>
        <color theme="0"/>
        <rFont val="Segoe UI Semibold"/>
        <family val="2"/>
      </rPr>
      <t>($)</t>
    </r>
  </si>
  <si>
    <r>
      <t xml:space="preserve">Building Cost 
</t>
    </r>
    <r>
      <rPr>
        <b/>
        <i/>
        <sz val="11"/>
        <color theme="0"/>
        <rFont val="Segoe UI Semibold"/>
        <family val="2"/>
      </rPr>
      <t>($)</t>
    </r>
  </si>
  <si>
    <r>
      <t xml:space="preserve">Volume Cost 
</t>
    </r>
    <r>
      <rPr>
        <b/>
        <i/>
        <sz val="11"/>
        <color theme="0"/>
        <rFont val="Segoe UI Semibold"/>
        <family val="2"/>
      </rPr>
      <t>($)</t>
    </r>
  </si>
  <si>
    <r>
      <t xml:space="preserve">Total Overhead Cost 
</t>
    </r>
    <r>
      <rPr>
        <b/>
        <i/>
        <sz val="11"/>
        <color theme="0"/>
        <rFont val="Segoe UI Semibold"/>
        <family val="2"/>
      </rPr>
      <t>($)</t>
    </r>
  </si>
  <si>
    <t>Return and Miscellaneous Revenue</t>
  </si>
  <si>
    <r>
      <t xml:space="preserve">Return and Miscellaneous Revenue
</t>
    </r>
    <r>
      <rPr>
        <b/>
        <i/>
        <sz val="11"/>
        <color theme="0"/>
        <rFont val="Segoe UI Semibold"/>
        <family val="2"/>
      </rPr>
      <t>($)</t>
    </r>
  </si>
  <si>
    <t>Direct and Collector Labour</t>
  </si>
  <si>
    <t>Buildings</t>
  </si>
  <si>
    <t>Forecast Group Revenue Requirement</t>
  </si>
  <si>
    <r>
      <t xml:space="preserve">Direct and Collector Labour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</si>
  <si>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Overhead Labour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</si>
  <si>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Building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</si>
  <si>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Equipment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</si>
  <si>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Vehicle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</si>
  <si>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Overhead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</si>
  <si>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Return and Miscellaneous Revenue
</t>
    </r>
    <r>
      <rPr>
        <b/>
        <i/>
        <sz val="11"/>
        <color theme="0"/>
        <rFont val="Segoe UI Semibold"/>
        <family val="2"/>
      </rPr>
      <t>(¢/container)</t>
    </r>
  </si>
  <si>
    <r>
      <t>Variable Rate (</t>
    </r>
    <r>
      <rPr>
        <b/>
        <i/>
        <sz val="11"/>
        <color theme="0"/>
        <rFont val="Segoe UI Semibold"/>
        <family val="2"/>
      </rPr>
      <t>¢/container</t>
    </r>
    <r>
      <rPr>
        <b/>
        <sz val="11"/>
        <color theme="0"/>
        <rFont val="Segoe UI Semibold"/>
        <family val="2"/>
      </rPr>
      <t>)</t>
    </r>
  </si>
  <si>
    <t>Revenue at
Variable
Rates</t>
  </si>
  <si>
    <r>
      <t xml:space="preserve">Revenue Surplus / Shortfall
</t>
    </r>
    <r>
      <rPr>
        <b/>
        <i/>
        <sz val="11"/>
        <color theme="0"/>
        <rFont val="Segoe UI Semibold"/>
        <family val="2"/>
      </rPr>
      <t>($)</t>
    </r>
  </si>
  <si>
    <r>
      <t xml:space="preserve">Pre-Depot Viability Target Year Handling Commissions 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</si>
  <si>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Current Pre-Depot Viability Handling Commissions 
</t>
    </r>
    <r>
      <rPr>
        <b/>
        <i/>
        <sz val="11"/>
        <color theme="0"/>
        <rFont val="Segoe UI Semibold"/>
        <family val="2"/>
      </rPr>
      <t>(¢/container)</t>
    </r>
  </si>
  <si>
    <t>Change in ¢ per container</t>
  </si>
  <si>
    <r>
      <t xml:space="preserve">Deposits 
</t>
    </r>
    <r>
      <rPr>
        <b/>
        <i/>
        <sz val="11"/>
        <color theme="0"/>
        <rFont val="Segoe UI Semibold"/>
        <family val="2"/>
      </rPr>
      <t>(¢/container)</t>
    </r>
  </si>
  <si>
    <t>2024 CY Volume</t>
  </si>
  <si>
    <t>% increase in volume</t>
  </si>
  <si>
    <t>1.5-cent eligible volume</t>
  </si>
  <si>
    <r>
      <t xml:space="preserve">Avg HC per Container
</t>
    </r>
    <r>
      <rPr>
        <i/>
        <sz val="11"/>
        <color theme="0"/>
        <rFont val="Segoe UI Semibold"/>
        <family val="2"/>
      </rPr>
      <t>(cents)</t>
    </r>
  </si>
  <si>
    <r>
      <t xml:space="preserve">DVHC Addition </t>
    </r>
    <r>
      <rPr>
        <i/>
        <sz val="11"/>
        <color theme="0"/>
        <rFont val="Segoe UI Semibold"/>
        <family val="2"/>
      </rPr>
      <t>($)</t>
    </r>
  </si>
  <si>
    <t>Target Year 
Depot Viability HC-Eligible Volume</t>
  </si>
  <si>
    <t>Eligible Portion</t>
  </si>
  <si>
    <t>Refillable Ratio</t>
  </si>
  <si>
    <r>
      <t xml:space="preserve">Proposed Target Year Handling Commissions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</si>
  <si>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Target Year Volume, With Depot Viability HC
</t>
    </r>
    <r>
      <rPr>
        <b/>
        <i/>
        <sz val="11"/>
        <color theme="0"/>
        <rFont val="Segoe UI Semibold"/>
        <family val="2"/>
      </rPr>
      <t>(14.2% of total)</t>
    </r>
  </si>
  <si>
    <r>
      <t xml:space="preserve">Target Year Volume, Without Depot Viability HC
</t>
    </r>
    <r>
      <rPr>
        <b/>
        <i/>
        <sz val="11"/>
        <color theme="0"/>
        <rFont val="Segoe UI Semibold"/>
        <family val="2"/>
      </rPr>
      <t>(85.8% of total)</t>
    </r>
  </si>
  <si>
    <r>
      <t>Revenue,                                 1.5-cent increase only
(14.2% of total)</t>
    </r>
    <r>
      <rPr>
        <b/>
        <i/>
        <sz val="11"/>
        <color theme="0"/>
        <rFont val="Segoe UI Semibold"/>
        <family val="2"/>
      </rPr>
      <t xml:space="preserve">
(1.5 cents * (f))</t>
    </r>
  </si>
  <si>
    <r>
      <t xml:space="preserve">Remaining Forecast Group Revenue Requirement
</t>
    </r>
    <r>
      <rPr>
        <b/>
        <i/>
        <sz val="11"/>
        <color theme="0"/>
        <rFont val="Segoe UI Semibold"/>
        <family val="2"/>
      </rPr>
      <t>((c) - (h))</t>
    </r>
  </si>
  <si>
    <r>
      <t xml:space="preserve">New Base Proposed Target Year HC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</si>
  <si>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New HC for first 1.5M containers
</t>
    </r>
    <r>
      <rPr>
        <b/>
        <i/>
        <sz val="11"/>
        <color theme="0"/>
        <rFont val="Segoe UI Semibold"/>
        <family val="2"/>
      </rPr>
      <t>(¢/container)</t>
    </r>
  </si>
  <si>
    <t>Forecast Group Revenue Requirement (Check)</t>
  </si>
  <si>
    <t>Decrease in Base HC</t>
  </si>
  <si>
    <r>
      <t xml:space="preserve">Target Year Handling Commissions 
</t>
    </r>
    <r>
      <rPr>
        <b/>
        <i/>
        <sz val="11"/>
        <color theme="0"/>
        <rFont val="Segoe UI Semibold"/>
        <family val="2"/>
      </rPr>
      <t>(¢/container)</t>
    </r>
  </si>
  <si>
    <r>
      <t xml:space="preserve">Current Handling Commissions 
</t>
    </r>
    <r>
      <rPr>
        <b/>
        <i/>
        <sz val="11"/>
        <color theme="0"/>
        <rFont val="Segoe UI Semibold"/>
        <family val="2"/>
      </rPr>
      <t>(¢/container)</t>
    </r>
  </si>
  <si>
    <t xml:space="preserve">(f) </t>
  </si>
  <si>
    <t xml:space="preserve">(h) </t>
  </si>
  <si>
    <t>Sorting / Loading / Cardboard</t>
  </si>
  <si>
    <t>Target Year Direct &amp; Collector Labour Costs</t>
  </si>
  <si>
    <t>Office</t>
  </si>
  <si>
    <t>Business</t>
  </si>
  <si>
    <t>ABCRC</t>
  </si>
  <si>
    <t>Target Year Direct &amp; Collector Labour Hours</t>
  </si>
  <si>
    <t>Customer Interface</t>
  </si>
  <si>
    <t>Less:  Miscellaneous Revenue</t>
  </si>
  <si>
    <t>BDL</t>
  </si>
  <si>
    <t>Average Target Year Direct &amp; Collector Labour Rate</t>
  </si>
  <si>
    <t>Loading</t>
  </si>
  <si>
    <t>System Return</t>
  </si>
  <si>
    <t>Average Time per container (seconds)</t>
  </si>
  <si>
    <t>Sorting</t>
  </si>
  <si>
    <t>Storage</t>
  </si>
  <si>
    <t>Vlookup Reference</t>
  </si>
  <si>
    <t>Column #</t>
  </si>
  <si>
    <t xml:space="preserve">See "Schedule 5" for the Buildings Allocators and "Schedule 8" for the Total Volume Allocators &amp; Total Container Pallets Allocators </t>
  </si>
  <si>
    <t>Vlookup Ref</t>
  </si>
  <si>
    <t>Column Number</t>
  </si>
  <si>
    <t>Specialty containers HC</t>
  </si>
  <si>
    <t>Sleeve-in-a-Box 0 - 1 Litre</t>
  </si>
  <si>
    <t>Q4</t>
  </si>
  <si>
    <t>Aluminum 0 - 1 Litre</t>
  </si>
  <si>
    <t>Bag in Box Over 1 Litre</t>
  </si>
  <si>
    <t>Bi-Metal 0 - 1 Litre</t>
  </si>
  <si>
    <t>Bi-Metal Over 1 Litre</t>
  </si>
  <si>
    <t>Drink Pouch 0 - 1 Litre</t>
  </si>
  <si>
    <t>Gable Top 0 - 1 Litre</t>
  </si>
  <si>
    <t>Gable Top Over 1 Litre</t>
  </si>
  <si>
    <t>Glass 0 - 1 Litre</t>
  </si>
  <si>
    <t>Glass Over 1 Litre</t>
  </si>
  <si>
    <t>HDPE Plastics Natural Over 1 Litre</t>
  </si>
  <si>
    <t>Industry Standard Bottle</t>
  </si>
  <si>
    <t>Liquor and Wine Ceramics</t>
  </si>
  <si>
    <t>Molson Coors MGD Refillable 355ml</t>
  </si>
  <si>
    <t>Moosehead</t>
  </si>
  <si>
    <t>Other Plastics 0 - 1 Litre</t>
  </si>
  <si>
    <t>Other Plastics Over 1 Litre</t>
  </si>
  <si>
    <t>PET 0 - 1 Litre</t>
  </si>
  <si>
    <t>PET Over 1 Litre</t>
  </si>
  <si>
    <t>Plastic One-Way Keg Over 1 Litre</t>
  </si>
  <si>
    <t>Sleemans Refillable</t>
  </si>
  <si>
    <t>Specialty Containers</t>
  </si>
  <si>
    <t>Steam Whistle Refillable</t>
  </si>
  <si>
    <t>Tetra Brik 0 - 1 Litre</t>
  </si>
  <si>
    <t>Tetra Brik Over 1 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</si>
</sst>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64" formatCode="&quot;$&quot;#,##0"/>
    <numFmt numFmtId="165" formatCode="_(* #,##0_);_(* \(#,##0\);_(* &quot;-&quot;_);_(@_)"/>
    <numFmt numFmtId="166" formatCode="_-* #,##0_-;\-* #,##0_-;_-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$&quot;#,##0_);\(&quot;$&quot;#,##0\)"/>
    <numFmt numFmtId="170" formatCode="_-&quot;$&quot;* #,##0_-;\-&quot;$&quot;* #,##0_-;_-&quot;$&quot;* &quot;-&quot;??_-;_-@_-"/>
    <numFmt numFmtId="171" formatCode="&quot;$&quot;* #,##0_);[Red]&quot;$&quot;* \(#,##0\)"/>
    <numFmt numFmtId="172" formatCode="_(* #,##0_);_(* \(#,##0\);_(* &quot;-&quot;??_);_(@_)"/>
    <numFmt numFmtId="173" formatCode="0.0%"/>
    <numFmt numFmtId="174" formatCode="[$-409]mmm\-yy;@"/>
    <numFmt numFmtId="175" formatCode="&quot;$&quot;#,##0_);[Red]\(&quot;$&quot;#,##0\)"/>
    <numFmt numFmtId="176" formatCode="0.00_);[Red]\(0.00\)"/>
    <numFmt numFmtId="177" formatCode="#,##0.000;[Red]\-#,##0.000"/>
    <numFmt numFmtId="178" formatCode="#,##0.0;[Red]\-#,##0.0"/>
    <numFmt numFmtId="179" formatCode="&quot;$&quot;#,##0.00_);[Red]\(&quot;$&quot;#,##0.00\)"/>
    <numFmt numFmtId="180" formatCode="_(&quot;$&quot;* #,##0_);_(&quot;$&quot;* \(#,##0\);_(&quot;$&quot;* &quot;-&quot;??_);_(@_)"/>
    <numFmt numFmtId="181" formatCode="0.0000_);[Red]\(0.0000\)"/>
    <numFmt numFmtId="182" formatCode="&quot;$&quot;#,##0.00_);\(&quot;$&quot;#,##0.00\)"/>
    <numFmt numFmtId="183" formatCode="&quot;$&quot;* #,##0.00_);[Red]&quot;$&quot;* \(#,##0.00\)"/>
    <numFmt numFmtId="184" formatCode="* #,##0.00_)%;[Red]* \(#,##0.00\)%"/>
    <numFmt numFmtId="185" formatCode="[$-409]d\-mmm\-yy;@"/>
    <numFmt numFmtId="186" formatCode="0.0000"/>
    <numFmt numFmtId="187" formatCode="0.000"/>
    <numFmt numFmtId="188" formatCode="&quot;$&quot;* #,##0.00_);[Red]&quot;$&quot;* \(\-#,##0.00\)"/>
    <numFmt numFmtId="189" formatCode="&quot;$&quot;* #,##0_);[Red]&quot;$&quot;* \(\-#,##0\)"/>
    <numFmt numFmtId="190" formatCode="&quot;$&quot;* #,##0.000_);[Red]&quot;$&quot;* \(#,##0.000\)"/>
    <numFmt numFmtId="191" formatCode="#,##0_ ;\-#,##0\ "/>
    <numFmt numFmtId="192" formatCode="#,##0.000;\-#,##0.000"/>
    <numFmt numFmtId="193" formatCode="&quot;$&quot;#,##0.00"/>
    <numFmt numFmtId="194" formatCode="0.0000%"/>
  </numFmts>
  <fonts count="47" x14ac:knownFonts="1">
    <font>
      <sz val="11"/>
      <color theme="1"/>
      <name val="Segoe UI Semilight"/>
      <family val="2"/>
      <scheme val="minor"/>
    </font>
    <font>
      <sz val="11"/>
      <color theme="1"/>
      <name val="Segoe UI Semilight"/>
      <family val="2"/>
      <scheme val="minor"/>
    </font>
    <font>
      <b/>
      <sz val="11"/>
      <color theme="3"/>
      <name val="Segoe UI Semilight"/>
      <family val="2"/>
      <scheme val="minor"/>
    </font>
    <font>
      <b/>
      <sz val="11"/>
      <color theme="0"/>
      <name val="Segoe UI Semilight"/>
      <family val="2"/>
      <scheme val="minor"/>
    </font>
    <font>
      <b/>
      <sz val="11"/>
      <color theme="1"/>
      <name val="Segoe UI Semilight"/>
      <family val="2"/>
      <scheme val="minor"/>
    </font>
    <font>
      <sz val="11"/>
      <color theme="0"/>
      <name val="Segoe UI Semilight"/>
      <family val="2"/>
      <scheme val="minor"/>
    </font>
    <font>
      <sz val="11"/>
      <name val="Segoe UI Semibold"/>
      <family val="2"/>
    </font>
    <font>
      <sz val="11"/>
      <color theme="1"/>
      <name val="Segoe UI Semibold"/>
      <family val="2"/>
    </font>
    <font>
      <b/>
      <sz val="11"/>
      <name val="Segoe UI Semibold"/>
      <family val="2"/>
    </font>
    <font>
      <sz val="11"/>
      <color theme="3"/>
      <name val="Segoe UI Semilight"/>
      <family val="2"/>
      <scheme val="minor"/>
    </font>
    <font>
      <sz val="11"/>
      <color indexed="12"/>
      <name val="Segoe UI Semilight"/>
      <family val="2"/>
      <scheme val="minor"/>
    </font>
    <font>
      <b/>
      <sz val="11"/>
      <name val="Segoe UI Semilight"/>
      <family val="2"/>
      <scheme val="minor"/>
    </font>
    <font>
      <sz val="11"/>
      <name val="Segoe UI Semilight"/>
      <family val="2"/>
      <scheme val="minor"/>
    </font>
    <font>
      <b/>
      <sz val="11"/>
      <color theme="0"/>
      <name val="Segoe UI Semilight"/>
      <family val="2"/>
      <scheme val="major"/>
    </font>
    <font>
      <b/>
      <sz val="11"/>
      <color theme="0"/>
      <name val="Segoe UI Semibold"/>
      <family val="2"/>
    </font>
    <font>
      <sz val="11"/>
      <color theme="0"/>
      <name val="Segoe UI Semibold"/>
      <family val="2"/>
    </font>
    <font>
      <b/>
      <u/>
      <sz val="11"/>
      <color theme="0"/>
      <name val="Segoe UI Semibold"/>
      <family val="2"/>
    </font>
    <font>
      <sz val="11"/>
      <color theme="6"/>
      <name val="Segoe UI Semibold"/>
      <family val="2"/>
    </font>
    <font>
      <b/>
      <sz val="11"/>
      <color theme="3"/>
      <name val="Segoe UI Semibold"/>
      <family val="2"/>
    </font>
    <font>
      <b/>
      <sz val="9"/>
      <color theme="0"/>
      <name val="Segoe UI Semibold"/>
      <family val="2"/>
    </font>
    <font>
      <sz val="11"/>
      <color indexed="12"/>
      <name val="Segoe UI Semibold"/>
      <family val="2"/>
    </font>
    <font>
      <sz val="11"/>
      <color indexed="8"/>
      <name val="Segoe UI Semibold"/>
      <family val="2"/>
    </font>
    <font>
      <b/>
      <u/>
      <sz val="11"/>
      <name val="Segoe UI Semibold"/>
      <family val="2"/>
    </font>
    <font>
      <sz val="11"/>
      <color theme="3"/>
      <name val="Segoe UI Semibold"/>
      <family val="2"/>
    </font>
    <font>
      <b/>
      <sz val="11"/>
      <color theme="1"/>
      <name val="Segoe UI Semibold"/>
      <family val="2"/>
    </font>
    <font>
      <i/>
      <sz val="11"/>
      <color indexed="8"/>
      <name val="Segoe UI Semilight"/>
      <family val="2"/>
      <scheme val="minor"/>
    </font>
    <font>
      <i/>
      <sz val="11"/>
      <name val="Segoe UI Semilight"/>
      <family val="2"/>
      <scheme val="minor"/>
    </font>
    <font>
      <b/>
      <sz val="11"/>
      <color rgb="FFFF0000"/>
      <name val="Segoe UI Semilight"/>
      <family val="2"/>
      <scheme val="minor"/>
    </font>
    <font>
      <sz val="11"/>
      <name val="Segoe UI Semilight"/>
      <family val="2"/>
    </font>
    <font>
      <sz val="11"/>
      <color rgb="FF000000"/>
      <name val="Segoe UI Semilight"/>
      <family val="2"/>
    </font>
    <font>
      <sz val="11"/>
      <color indexed="8"/>
      <name val="Segoe UI Semilight"/>
      <family val="2"/>
      <scheme val="minor"/>
    </font>
    <font>
      <sz val="11"/>
      <color indexed="10"/>
      <name val="Segoe UI Semilight"/>
      <family val="2"/>
      <scheme val="minor"/>
    </font>
    <font>
      <i/>
      <sz val="10"/>
      <color theme="1"/>
      <name val="Segoe UI Semilight"/>
      <family val="2"/>
      <scheme val="minor"/>
    </font>
    <font>
      <sz val="9"/>
      <color theme="1"/>
      <name val="Century Gothic"/>
      <family val="2"/>
    </font>
    <font>
      <b/>
      <sz val="11"/>
      <color indexed="8"/>
      <name val="Segoe UI Semibold"/>
      <family val="2"/>
    </font>
    <font>
      <b/>
      <sz val="11"/>
      <color indexed="12"/>
      <name val="Segoe UI Semilight"/>
      <family val="2"/>
      <scheme val="minor"/>
    </font>
    <font>
      <i/>
      <sz val="10"/>
      <name val="Segoe UI Semilight"/>
      <family val="2"/>
      <scheme val="minor"/>
    </font>
    <font>
      <i/>
      <sz val="11"/>
      <color theme="1"/>
      <name val="Segoe UI Semilight"/>
      <family val="2"/>
      <scheme val="minor"/>
    </font>
    <font>
      <b/>
      <i/>
      <sz val="8"/>
      <color theme="1"/>
      <name val="Segoe UI Semilight"/>
      <family val="2"/>
      <scheme val="minor"/>
    </font>
    <font>
      <b/>
      <sz val="11"/>
      <color rgb="FF000000"/>
      <name val="Segoe UI Semibold"/>
      <family val="2"/>
    </font>
    <font>
      <b/>
      <u/>
      <sz val="11"/>
      <name val="Segoe UI Semilight"/>
      <family val="2"/>
      <scheme val="minor"/>
    </font>
    <font>
      <sz val="11"/>
      <color indexed="10"/>
      <name val="Segoe UI Semibold"/>
      <family val="2"/>
    </font>
    <font>
      <i/>
      <sz val="11"/>
      <color theme="0" tint="-0.499984740745262"/>
      <name val="Segoe UI Semilight"/>
      <family val="2"/>
      <scheme val="minor"/>
    </font>
    <font>
      <b/>
      <i/>
      <sz val="11"/>
      <color theme="0"/>
      <name val="Segoe UI Semibold"/>
      <family val="2"/>
    </font>
    <font>
      <i/>
      <sz val="11"/>
      <color theme="0"/>
      <name val="Segoe UI Semibold"/>
      <family val="2"/>
    </font>
    <font>
      <b/>
      <sz val="11"/>
      <color indexed="12"/>
      <name val="Segoe UI Semibold"/>
      <family val="2"/>
    </font>
    <font>
      <sz val="11"/>
      <color rgb="FF0000E1"/>
      <name val="Segoe UI Semilight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F3C4F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BFBFBF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indexed="64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77111117893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BFBFBF"/>
      </bottom>
      <diagonal/>
    </border>
    <border>
      <left/>
      <right/>
      <top style="thin">
        <color auto="1"/>
      </top>
      <bottom style="medium">
        <color theme="0" tint="-0.24994659260841701"/>
      </bottom>
      <diagonal/>
    </border>
  </borders>
  <cellStyleXfs count="6">
    <xf numFmtId="0" fontId="0" fillId="0" borderId="0"/>
    <xf numFmtId="37" fontId="1" fillId="0" borderId="0"/>
    <xf numFmtId="171" fontId="12" fillId="0" borderId="0"/>
    <xf numFmtId="173" fontId="1" fillId="0" borderId="0" applyAlignment="0"/>
    <xf numFmtId="166" fontId="13" fillId="5" borderId="2">
      <alignment horizontal="center" vertical="center" wrapText="1"/>
    </xf>
    <xf numFmtId="40" fontId="12" fillId="0" borderId="0"/>
  </cellStyleXfs>
  <cellXfs count="912">
    <xf numFmtId="0" fontId="0" fillId="0" borderId="0" xfId="0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4" borderId="0" xfId="0" applyFon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12" fillId="2" borderId="0" xfId="0" applyFont="1" applyFill="1"/>
    <xf numFmtId="165" fontId="0" fillId="2" borderId="0" xfId="0" applyNumberFormat="1" applyFill="1"/>
    <xf numFmtId="165" fontId="0" fillId="3" borderId="0" xfId="0" applyNumberFormat="1" applyFill="1"/>
    <xf numFmtId="0" fontId="11" fillId="3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10" fontId="11" fillId="2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vertical="top" wrapText="1"/>
    </xf>
    <xf numFmtId="0" fontId="11" fillId="3" borderId="0" xfId="0" applyFont="1" applyFill="1"/>
    <xf numFmtId="0" fontId="0" fillId="4" borderId="0" xfId="0" applyFill="1"/>
    <xf numFmtId="166" fontId="14" fillId="6" borderId="0" xfId="4" applyFont="1" applyFill="1" applyBorder="1">
      <alignment horizontal="center" vertical="center" wrapText="1"/>
    </xf>
    <xf numFmtId="166" fontId="3" fillId="2" borderId="0" xfId="0" applyNumberFormat="1" applyFont="1" applyFill="1" applyAlignment="1">
      <alignment wrapText="1"/>
    </xf>
    <xf numFmtId="10" fontId="0" fillId="3" borderId="0" xfId="0" applyNumberFormat="1" applyFill="1" applyAlignment="1">
      <alignment vertical="top" wrapText="1"/>
    </xf>
    <xf numFmtId="10" fontId="0" fillId="2" borderId="0" xfId="0" applyNumberFormat="1" applyFill="1" applyAlignment="1">
      <alignment vertical="top" wrapText="1"/>
    </xf>
    <xf numFmtId="0" fontId="7" fillId="6" borderId="0" xfId="0" applyFont="1" applyFill="1"/>
    <xf numFmtId="10" fontId="3" fillId="2" borderId="0" xfId="0" applyNumberFormat="1" applyFont="1" applyFill="1" applyAlignment="1">
      <alignment vertical="top" wrapText="1"/>
    </xf>
    <xf numFmtId="0" fontId="14" fillId="6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5" fillId="6" borderId="5" xfId="0" applyFont="1" applyFill="1" applyBorder="1" applyAlignment="1">
      <alignment vertical="center"/>
    </xf>
    <xf numFmtId="0" fontId="14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17" fillId="6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166" fontId="14" fillId="6" borderId="0" xfId="0" applyNumberFormat="1" applyFont="1" applyFill="1" applyAlignment="1">
      <alignment vertical="center"/>
    </xf>
    <xf numFmtId="0" fontId="15" fillId="6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166" fontId="11" fillId="3" borderId="0" xfId="0" applyNumberFormat="1" applyFont="1" applyFill="1" applyAlignment="1">
      <alignment horizontal="center" wrapText="1"/>
    </xf>
    <xf numFmtId="0" fontId="14" fillId="6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5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5" fillId="6" borderId="8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center" vertical="top" wrapText="1"/>
    </xf>
    <xf numFmtId="168" fontId="3" fillId="2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vertical="center" wrapText="1"/>
    </xf>
    <xf numFmtId="0" fontId="7" fillId="6" borderId="7" xfId="0" applyFont="1" applyFill="1" applyBorder="1" applyAlignment="1">
      <alignment vertical="center"/>
    </xf>
    <xf numFmtId="168" fontId="3" fillId="3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top" wrapText="1"/>
    </xf>
    <xf numFmtId="0" fontId="8" fillId="6" borderId="0" xfId="0" applyFont="1" applyFill="1" applyAlignment="1">
      <alignment horizontal="center"/>
    </xf>
    <xf numFmtId="0" fontId="6" fillId="6" borderId="0" xfId="0" applyFont="1" applyFill="1"/>
    <xf numFmtId="0" fontId="0" fillId="2" borderId="0" xfId="0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66" fontId="14" fillId="5" borderId="9" xfId="0" applyNumberFormat="1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4" fillId="5" borderId="3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69" fontId="0" fillId="2" borderId="0" xfId="0" applyNumberFormat="1" applyFill="1" applyAlignment="1">
      <alignment horizontal="center" vertical="center"/>
    </xf>
    <xf numFmtId="164" fontId="14" fillId="5" borderId="5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164" fontId="14" fillId="5" borderId="5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center" vertical="center" wrapText="1"/>
    </xf>
    <xf numFmtId="170" fontId="14" fillId="5" borderId="0" xfId="0" applyNumberFormat="1" applyFont="1" applyFill="1" applyAlignment="1">
      <alignment horizontal="center" vertical="center"/>
    </xf>
    <xf numFmtId="170" fontId="14" fillId="5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5" fontId="14" fillId="5" borderId="6" xfId="0" applyNumberFormat="1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165" fontId="14" fillId="5" borderId="5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 wrapText="1"/>
    </xf>
    <xf numFmtId="165" fontId="14" fillId="5" borderId="5" xfId="0" applyNumberFormat="1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8" fontId="14" fillId="5" borderId="1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168" fontId="14" fillId="5" borderId="7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164" fontId="14" fillId="5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168" fontId="15" fillId="5" borderId="7" xfId="0" applyNumberFormat="1" applyFont="1" applyFill="1" applyBorder="1" applyAlignment="1">
      <alignment horizontal="center" vertical="center" wrapText="1"/>
    </xf>
    <xf numFmtId="164" fontId="15" fillId="5" borderId="5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164" fontId="15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168" fontId="14" fillId="5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8" fontId="14" fillId="5" borderId="5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166" fontId="14" fillId="5" borderId="0" xfId="0" applyNumberFormat="1" applyFont="1" applyFill="1" applyAlignment="1">
      <alignment horizontal="center" vertical="center" wrapText="1"/>
    </xf>
    <xf numFmtId="166" fontId="14" fillId="5" borderId="0" xfId="0" applyNumberFormat="1" applyFont="1" applyFill="1" applyAlignment="1">
      <alignment vertical="center" wrapText="1"/>
    </xf>
    <xf numFmtId="166" fontId="14" fillId="5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8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166" fontId="18" fillId="2" borderId="13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quotePrefix="1" applyFont="1" applyFill="1" applyBorder="1" applyAlignment="1">
      <alignment horizontal="center" vertical="center"/>
    </xf>
    <xf numFmtId="166" fontId="18" fillId="2" borderId="11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166" fontId="18" fillId="2" borderId="0" xfId="0" applyNumberFormat="1" applyFont="1" applyFill="1" applyAlignment="1">
      <alignment horizontal="center" vertical="center"/>
    </xf>
    <xf numFmtId="0" fontId="18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166" fontId="18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center" vertical="center"/>
    </xf>
    <xf numFmtId="169" fontId="0" fillId="2" borderId="0" xfId="0" applyNumberFormat="1" applyFill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164" fontId="18" fillId="2" borderId="5" xfId="0" applyNumberFormat="1" applyFont="1" applyFill="1" applyBorder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164" fontId="18" fillId="2" borderId="13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5" fontId="11" fillId="3" borderId="0" xfId="0" applyNumberFormat="1" applyFont="1" applyFill="1" applyAlignment="1">
      <alignment horizontal="center" vertical="center"/>
    </xf>
    <xf numFmtId="0" fontId="22" fillId="2" borderId="12" xfId="0" applyFont="1" applyFill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164" fontId="12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 wrapText="1"/>
    </xf>
    <xf numFmtId="0" fontId="18" fillId="2" borderId="12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quotePrefix="1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vertical="center"/>
    </xf>
    <xf numFmtId="166" fontId="14" fillId="7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6" fontId="14" fillId="7" borderId="6" xfId="0" applyNumberFormat="1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5" xfId="0" applyFont="1" applyFill="1" applyBorder="1" applyAlignment="1">
      <alignment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quotePrefix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/>
    <xf numFmtId="166" fontId="14" fillId="8" borderId="1" xfId="0" applyNumberFormat="1" applyFont="1" applyFill="1" applyBorder="1" applyAlignment="1">
      <alignment wrapText="1"/>
    </xf>
    <xf numFmtId="0" fontId="15" fillId="8" borderId="1" xfId="0" applyFont="1" applyFill="1" applyBorder="1"/>
    <xf numFmtId="0" fontId="5" fillId="2" borderId="0" xfId="0" applyFont="1" applyFill="1"/>
    <xf numFmtId="0" fontId="4" fillId="2" borderId="0" xfId="0" applyFont="1" applyFill="1"/>
    <xf numFmtId="0" fontId="24" fillId="4" borderId="0" xfId="0" applyFont="1" applyFill="1"/>
    <xf numFmtId="0" fontId="18" fillId="4" borderId="0" xfId="0" applyFont="1" applyFill="1" applyAlignment="1">
      <alignment horizontal="center"/>
    </xf>
    <xf numFmtId="0" fontId="6" fillId="4" borderId="0" xfId="0" applyFont="1" applyFill="1"/>
    <xf numFmtId="0" fontId="8" fillId="4" borderId="0" xfId="0" applyFont="1" applyFill="1"/>
    <xf numFmtId="0" fontId="0" fillId="4" borderId="5" xfId="0" applyFill="1" applyBorder="1"/>
    <xf numFmtId="0" fontId="0" fillId="4" borderId="6" xfId="0" applyFill="1" applyBorder="1"/>
    <xf numFmtId="0" fontId="8" fillId="4" borderId="5" xfId="0" applyFont="1" applyFill="1" applyBorder="1"/>
    <xf numFmtId="37" fontId="0" fillId="4" borderId="0" xfId="1" applyFont="1" applyFill="1"/>
    <xf numFmtId="171" fontId="12" fillId="4" borderId="0" xfId="2" applyFill="1"/>
    <xf numFmtId="171" fontId="12" fillId="4" borderId="5" xfId="2" applyFill="1" applyBorder="1"/>
    <xf numFmtId="169" fontId="0" fillId="2" borderId="0" xfId="0" applyNumberFormat="1" applyFill="1"/>
    <xf numFmtId="166" fontId="12" fillId="4" borderId="5" xfId="0" applyNumberFormat="1" applyFont="1" applyFill="1" applyBorder="1"/>
    <xf numFmtId="165" fontId="0" fillId="4" borderId="0" xfId="0" applyNumberFormat="1" applyFill="1"/>
    <xf numFmtId="0" fontId="25" fillId="4" borderId="0" xfId="0" applyFont="1" applyFill="1" applyAlignment="1">
      <alignment horizontal="right" wrapText="1"/>
    </xf>
    <xf numFmtId="165" fontId="26" fillId="4" borderId="0" xfId="0" applyNumberFormat="1" applyFont="1" applyFill="1"/>
    <xf numFmtId="165" fontId="26" fillId="4" borderId="6" xfId="0" applyNumberFormat="1" applyFont="1" applyFill="1" applyBorder="1"/>
    <xf numFmtId="0" fontId="7" fillId="4" borderId="5" xfId="0" applyFont="1" applyFill="1" applyBorder="1"/>
    <xf numFmtId="0" fontId="8" fillId="4" borderId="0" xfId="0" applyFont="1" applyFill="1" applyAlignment="1">
      <alignment horizontal="center"/>
    </xf>
    <xf numFmtId="0" fontId="8" fillId="4" borderId="5" xfId="0" applyFont="1" applyFill="1" applyBorder="1" applyAlignment="1">
      <alignment horizontal="center"/>
    </xf>
    <xf numFmtId="164" fontId="12" fillId="2" borderId="0" xfId="0" applyNumberFormat="1" applyFont="1" applyFill="1"/>
    <xf numFmtId="164" fontId="12" fillId="3" borderId="0" xfId="0" applyNumberFormat="1" applyFont="1" applyFill="1"/>
    <xf numFmtId="0" fontId="26" fillId="4" borderId="5" xfId="0" applyFont="1" applyFill="1" applyBorder="1" applyAlignment="1">
      <alignment horizontal="left"/>
    </xf>
    <xf numFmtId="166" fontId="26" fillId="4" borderId="0" xfId="0" applyNumberFormat="1" applyFont="1" applyFill="1"/>
    <xf numFmtId="165" fontId="26" fillId="4" borderId="5" xfId="0" applyNumberFormat="1" applyFont="1" applyFill="1" applyBorder="1"/>
    <xf numFmtId="170" fontId="0" fillId="2" borderId="0" xfId="0" applyNumberFormat="1" applyFill="1"/>
    <xf numFmtId="0" fontId="0" fillId="4" borderId="0" xfId="0" applyFill="1" applyAlignment="1">
      <alignment horizontal="center"/>
    </xf>
    <xf numFmtId="166" fontId="0" fillId="4" borderId="0" xfId="0" applyNumberFormat="1" applyFill="1"/>
    <xf numFmtId="172" fontId="0" fillId="4" borderId="0" xfId="0" applyNumberFormat="1" applyFill="1"/>
    <xf numFmtId="40" fontId="12" fillId="4" borderId="0" xfId="5" applyFill="1"/>
    <xf numFmtId="173" fontId="0" fillId="4" borderId="0" xfId="3" applyFont="1" applyFill="1"/>
    <xf numFmtId="0" fontId="18" fillId="4" borderId="5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0" fontId="12" fillId="4" borderId="5" xfId="5" applyFill="1" applyBorder="1" applyAlignment="1">
      <alignment horizontal="center"/>
    </xf>
    <xf numFmtId="170" fontId="0" fillId="2" borderId="0" xfId="0" applyNumberFormat="1" applyFill="1" applyAlignment="1">
      <alignment horizontal="justify" vertical="distributed"/>
    </xf>
    <xf numFmtId="170" fontId="0" fillId="3" borderId="0" xfId="0" applyNumberFormat="1" applyFill="1" applyAlignment="1">
      <alignment horizontal="justify" vertical="distributed"/>
    </xf>
    <xf numFmtId="0" fontId="23" fillId="4" borderId="5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8" fontId="0" fillId="4" borderId="5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2" fontId="0" fillId="4" borderId="0" xfId="0" applyNumberFormat="1" applyFill="1"/>
    <xf numFmtId="0" fontId="27" fillId="4" borderId="0" xfId="0" applyFont="1" applyFill="1"/>
    <xf numFmtId="2" fontId="0" fillId="4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7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right" vertical="center" wrapText="1"/>
    </xf>
    <xf numFmtId="168" fontId="14" fillId="8" borderId="0" xfId="0" applyNumberFormat="1" applyFont="1" applyFill="1" applyAlignment="1">
      <alignment horizontal="center" vertical="center" wrapText="1"/>
    </xf>
    <xf numFmtId="2" fontId="14" fillId="8" borderId="5" xfId="0" applyNumberFormat="1" applyFont="1" applyFill="1" applyBorder="1" applyAlignment="1">
      <alignment horizontal="right" vertical="center" wrapText="1"/>
    </xf>
    <xf numFmtId="2" fontId="14" fillId="8" borderId="0" xfId="0" applyNumberFormat="1" applyFont="1" applyFill="1" applyAlignment="1">
      <alignment horizontal="right" vertical="center" wrapText="1"/>
    </xf>
    <xf numFmtId="10" fontId="14" fillId="8" borderId="0" xfId="0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top" wrapText="1"/>
    </xf>
    <xf numFmtId="10" fontId="0" fillId="3" borderId="0" xfId="0" applyNumberFormat="1" applyFill="1"/>
    <xf numFmtId="0" fontId="0" fillId="4" borderId="5" xfId="0" applyFill="1" applyBorder="1" applyAlignment="1">
      <alignment horizontal="center"/>
    </xf>
    <xf numFmtId="0" fontId="0" fillId="3" borderId="0" xfId="0" applyFill="1" applyAlignment="1">
      <alignment vertical="top" wrapText="1"/>
    </xf>
    <xf numFmtId="0" fontId="18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5" xfId="0" applyFill="1" applyBorder="1"/>
    <xf numFmtId="171" fontId="12" fillId="2" borderId="6" xfId="2" applyFill="1" applyBorder="1"/>
    <xf numFmtId="40" fontId="12" fillId="2" borderId="5" xfId="5" applyFill="1" applyBorder="1"/>
    <xf numFmtId="40" fontId="12" fillId="2" borderId="0" xfId="5" applyFill="1"/>
    <xf numFmtId="171" fontId="12" fillId="2" borderId="5" xfId="2" applyFill="1" applyBorder="1"/>
    <xf numFmtId="173" fontId="0" fillId="2" borderId="0" xfId="3" applyFont="1" applyFill="1"/>
    <xf numFmtId="0" fontId="0" fillId="2" borderId="0" xfId="0" applyFill="1" applyAlignment="1">
      <alignment horizontal="left" vertical="center" wrapText="1" indent="1"/>
    </xf>
    <xf numFmtId="171" fontId="12" fillId="2" borderId="0" xfId="2" applyFill="1"/>
    <xf numFmtId="0" fontId="12" fillId="2" borderId="0" xfId="0" applyFont="1" applyFill="1" applyAlignment="1">
      <alignment horizontal="left" indent="1"/>
    </xf>
    <xf numFmtId="166" fontId="0" fillId="2" borderId="0" xfId="0" applyNumberFormat="1" applyFill="1"/>
    <xf numFmtId="175" fontId="0" fillId="2" borderId="0" xfId="0" applyNumberFormat="1" applyFill="1"/>
    <xf numFmtId="176" fontId="0" fillId="2" borderId="0" xfId="0" applyNumberFormat="1" applyFill="1"/>
    <xf numFmtId="168" fontId="0" fillId="2" borderId="0" xfId="0" applyNumberFormat="1" applyFill="1"/>
    <xf numFmtId="173" fontId="0" fillId="2" borderId="0" xfId="0" applyNumberFormat="1" applyFill="1"/>
    <xf numFmtId="171" fontId="28" fillId="9" borderId="14" xfId="2" applyFont="1" applyFill="1" applyBorder="1"/>
    <xf numFmtId="39" fontId="29" fillId="9" borderId="0" xfId="1" applyNumberFormat="1" applyFont="1" applyFill="1"/>
    <xf numFmtId="39" fontId="1" fillId="2" borderId="0" xfId="1" applyNumberFormat="1" applyFill="1"/>
    <xf numFmtId="173" fontId="1" fillId="2" borderId="0" xfId="3" applyFill="1"/>
    <xf numFmtId="173" fontId="1" fillId="2" borderId="6" xfId="3" applyFill="1" applyBorder="1"/>
    <xf numFmtId="0" fontId="8" fillId="2" borderId="5" xfId="0" applyFont="1" applyFill="1" applyBorder="1"/>
    <xf numFmtId="37" fontId="0" fillId="2" borderId="0" xfId="1" applyFont="1" applyFill="1"/>
    <xf numFmtId="166" fontId="12" fillId="2" borderId="5" xfId="0" applyNumberFormat="1" applyFont="1" applyFill="1" applyBorder="1"/>
    <xf numFmtId="171" fontId="12" fillId="0" borderId="5" xfId="2" applyBorder="1"/>
    <xf numFmtId="171" fontId="12" fillId="0" borderId="0" xfId="2"/>
    <xf numFmtId="171" fontId="12" fillId="0" borderId="15" xfId="2" applyBorder="1"/>
    <xf numFmtId="0" fontId="30" fillId="2" borderId="0" xfId="0" applyFont="1" applyFill="1" applyAlignment="1">
      <alignment horizontal="left"/>
    </xf>
    <xf numFmtId="0" fontId="31" fillId="2" borderId="0" xfId="0" applyFont="1" applyFill="1" applyAlignment="1">
      <alignment horizontal="center"/>
    </xf>
    <xf numFmtId="0" fontId="30" fillId="2" borderId="5" xfId="0" applyFont="1" applyFill="1" applyBorder="1" applyAlignment="1">
      <alignment horizontal="left" wrapText="1"/>
    </xf>
    <xf numFmtId="0" fontId="12" fillId="2" borderId="5" xfId="0" applyFont="1" applyFill="1" applyBorder="1"/>
    <xf numFmtId="0" fontId="18" fillId="2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0" fontId="12" fillId="2" borderId="5" xfId="5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168" fontId="0" fillId="2" borderId="5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2" fontId="0" fillId="2" borderId="0" xfId="0" applyNumberFormat="1" applyFill="1"/>
    <xf numFmtId="37" fontId="0" fillId="0" borderId="0" xfId="1" applyFont="1"/>
    <xf numFmtId="2" fontId="0" fillId="2" borderId="0" xfId="0" applyNumberFormat="1" applyFill="1" applyAlignment="1">
      <alignment horizontal="right" vertical="center"/>
    </xf>
    <xf numFmtId="174" fontId="12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8" fillId="10" borderId="5" xfId="0" applyFont="1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0" fillId="10" borderId="7" xfId="0" applyNumberFormat="1" applyFill="1" applyBorder="1" applyAlignment="1">
      <alignment horizontal="right" vertical="center"/>
    </xf>
    <xf numFmtId="171" fontId="12" fillId="10" borderId="5" xfId="2" applyFill="1" applyBorder="1"/>
    <xf numFmtId="171" fontId="12" fillId="10" borderId="0" xfId="2" applyFill="1"/>
    <xf numFmtId="0" fontId="0" fillId="2" borderId="5" xfId="0" applyFill="1" applyBorder="1" applyAlignment="1">
      <alignment horizontal="center"/>
    </xf>
    <xf numFmtId="177" fontId="12" fillId="4" borderId="0" xfId="5" applyNumberFormat="1" applyFill="1"/>
    <xf numFmtId="171" fontId="12" fillId="4" borderId="6" xfId="2" applyFill="1" applyBorder="1"/>
    <xf numFmtId="0" fontId="11" fillId="4" borderId="0" xfId="0" applyFont="1" applyFill="1"/>
    <xf numFmtId="171" fontId="28" fillId="11" borderId="0" xfId="2" applyFont="1" applyFill="1"/>
    <xf numFmtId="173" fontId="0" fillId="4" borderId="0" xfId="0" applyNumberFormat="1" applyFill="1"/>
    <xf numFmtId="0" fontId="9" fillId="4" borderId="0" xfId="0" applyFont="1" applyFill="1"/>
    <xf numFmtId="40" fontId="12" fillId="4" borderId="5" xfId="5" applyFill="1" applyBorder="1"/>
    <xf numFmtId="0" fontId="18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 indent="1"/>
    </xf>
    <xf numFmtId="178" fontId="12" fillId="4" borderId="0" xfId="5" applyNumberFormat="1" applyFill="1"/>
    <xf numFmtId="0" fontId="12" fillId="4" borderId="0" xfId="0" applyFont="1" applyFill="1" applyAlignment="1">
      <alignment horizontal="left" indent="1"/>
    </xf>
    <xf numFmtId="168" fontId="0" fillId="4" borderId="0" xfId="0" applyNumberFormat="1" applyFill="1" applyAlignment="1">
      <alignment horizontal="center"/>
    </xf>
    <xf numFmtId="0" fontId="12" fillId="4" borderId="0" xfId="0" applyFont="1" applyFill="1"/>
    <xf numFmtId="0" fontId="0" fillId="4" borderId="0" xfId="0" applyFill="1" applyAlignment="1">
      <alignment horizontal="left" indent="1"/>
    </xf>
    <xf numFmtId="175" fontId="0" fillId="4" borderId="0" xfId="0" applyNumberFormat="1" applyFill="1"/>
    <xf numFmtId="176" fontId="0" fillId="4" borderId="0" xfId="0" applyNumberFormat="1" applyFill="1"/>
    <xf numFmtId="168" fontId="0" fillId="4" borderId="0" xfId="0" applyNumberFormat="1" applyFill="1"/>
    <xf numFmtId="171" fontId="28" fillId="11" borderId="14" xfId="2" applyFont="1" applyFill="1" applyBorder="1"/>
    <xf numFmtId="39" fontId="29" fillId="11" borderId="0" xfId="1" applyNumberFormat="1" applyFont="1" applyFill="1"/>
    <xf numFmtId="39" fontId="1" fillId="4" borderId="0" xfId="1" applyNumberFormat="1" applyFill="1"/>
    <xf numFmtId="173" fontId="1" fillId="4" borderId="0" xfId="3" applyFill="1"/>
    <xf numFmtId="173" fontId="1" fillId="4" borderId="6" xfId="3" applyFill="1" applyBorder="1"/>
    <xf numFmtId="0" fontId="18" fillId="4" borderId="16" xfId="0" applyFont="1" applyFill="1" applyBorder="1" applyAlignment="1">
      <alignment horizontal="center"/>
    </xf>
    <xf numFmtId="0" fontId="8" fillId="4" borderId="17" xfId="0" applyFont="1" applyFill="1" applyBorder="1"/>
    <xf numFmtId="37" fontId="0" fillId="4" borderId="16" xfId="1" applyFont="1" applyFill="1" applyBorder="1"/>
    <xf numFmtId="171" fontId="12" fillId="4" borderId="16" xfId="2" applyFill="1" applyBorder="1"/>
    <xf numFmtId="171" fontId="12" fillId="4" borderId="17" xfId="2" applyFill="1" applyBorder="1"/>
    <xf numFmtId="166" fontId="12" fillId="4" borderId="17" xfId="0" applyNumberFormat="1" applyFont="1" applyFill="1" applyBorder="1"/>
    <xf numFmtId="165" fontId="0" fillId="4" borderId="16" xfId="0" applyNumberFormat="1" applyFill="1" applyBorder="1"/>
    <xf numFmtId="0" fontId="30" fillId="4" borderId="0" xfId="0" applyFont="1" applyFill="1" applyAlignment="1">
      <alignment horizontal="left"/>
    </xf>
    <xf numFmtId="0" fontId="12" fillId="3" borderId="0" xfId="0" applyFont="1" applyFill="1"/>
    <xf numFmtId="0" fontId="0" fillId="4" borderId="17" xfId="0" applyFill="1" applyBorder="1"/>
    <xf numFmtId="0" fontId="31" fillId="4" borderId="0" xfId="0" applyFont="1" applyFill="1" applyAlignment="1">
      <alignment horizontal="center"/>
    </xf>
    <xf numFmtId="0" fontId="30" fillId="4" borderId="5" xfId="0" applyFont="1" applyFill="1" applyBorder="1" applyAlignment="1">
      <alignment horizontal="left" wrapText="1"/>
    </xf>
    <xf numFmtId="164" fontId="0" fillId="3" borderId="0" xfId="0" applyNumberFormat="1" applyFill="1"/>
    <xf numFmtId="0" fontId="12" fillId="4" borderId="5" xfId="0" applyFont="1" applyFill="1" applyBorder="1"/>
    <xf numFmtId="0" fontId="18" fillId="4" borderId="5" xfId="0" applyFont="1" applyFill="1" applyBorder="1" applyAlignment="1">
      <alignment horizontal="center"/>
    </xf>
    <xf numFmtId="2" fontId="0" fillId="2" borderId="7" xfId="0" applyNumberForma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left" indent="1"/>
    </xf>
    <xf numFmtId="171" fontId="12" fillId="4" borderId="2" xfId="2" applyFill="1" applyBorder="1"/>
    <xf numFmtId="177" fontId="12" fillId="2" borderId="0" xfId="5" applyNumberFormat="1" applyFill="1"/>
    <xf numFmtId="171" fontId="28" fillId="9" borderId="0" xfId="2" applyFont="1" applyFill="1"/>
    <xf numFmtId="166" fontId="3" fillId="8" borderId="1" xfId="0" applyNumberFormat="1" applyFont="1" applyFill="1" applyBorder="1" applyAlignment="1">
      <alignment wrapText="1"/>
    </xf>
    <xf numFmtId="0" fontId="5" fillId="8" borderId="1" xfId="0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indent="1"/>
    </xf>
    <xf numFmtId="179" fontId="0" fillId="2" borderId="1" xfId="0" applyNumberFormat="1" applyFill="1" applyBorder="1" applyAlignment="1">
      <alignment horizontal="right"/>
    </xf>
    <xf numFmtId="0" fontId="11" fillId="3" borderId="0" xfId="0" applyFont="1" applyFill="1" applyAlignment="1">
      <alignment horizontal="center" wrapText="1"/>
    </xf>
    <xf numFmtId="0" fontId="18" fillId="2" borderId="18" xfId="0" applyFont="1" applyFill="1" applyBorder="1" applyAlignment="1">
      <alignment horizontal="center"/>
    </xf>
    <xf numFmtId="0" fontId="8" fillId="2" borderId="19" xfId="0" applyFont="1" applyFill="1" applyBorder="1"/>
    <xf numFmtId="37" fontId="24" fillId="2" borderId="18" xfId="1" applyFont="1" applyFill="1" applyBorder="1"/>
    <xf numFmtId="171" fontId="8" fillId="2" borderId="18" xfId="2" applyFont="1" applyFill="1" applyBorder="1"/>
    <xf numFmtId="171" fontId="8" fillId="2" borderId="19" xfId="2" applyFont="1" applyFill="1" applyBorder="1"/>
    <xf numFmtId="165" fontId="8" fillId="2" borderId="18" xfId="0" applyNumberFormat="1" applyFont="1" applyFill="1" applyBorder="1"/>
    <xf numFmtId="171" fontId="12" fillId="0" borderId="19" xfId="2" applyBorder="1"/>
    <xf numFmtId="171" fontId="12" fillId="2" borderId="18" xfId="2" applyFill="1" applyBorder="1"/>
    <xf numFmtId="171" fontId="8" fillId="0" borderId="20" xfId="2" applyFont="1" applyBorder="1"/>
    <xf numFmtId="171" fontId="8" fillId="0" borderId="21" xfId="2" applyFont="1" applyBorder="1"/>
    <xf numFmtId="171" fontId="8" fillId="0" borderId="22" xfId="2" applyFont="1" applyBorder="1"/>
    <xf numFmtId="0" fontId="18" fillId="2" borderId="23" xfId="0" applyFont="1" applyFill="1" applyBorder="1" applyAlignment="1">
      <alignment horizontal="center"/>
    </xf>
    <xf numFmtId="37" fontId="8" fillId="2" borderId="24" xfId="0" applyNumberFormat="1" applyFont="1" applyFill="1" applyBorder="1" applyAlignment="1">
      <alignment horizontal="right"/>
    </xf>
    <xf numFmtId="171" fontId="8" fillId="2" borderId="23" xfId="2" applyFont="1" applyFill="1" applyBorder="1"/>
    <xf numFmtId="171" fontId="8" fillId="2" borderId="24" xfId="2" applyFont="1" applyFill="1" applyBorder="1"/>
    <xf numFmtId="0" fontId="18" fillId="2" borderId="25" xfId="0" applyFont="1" applyFill="1" applyBorder="1" applyAlignment="1">
      <alignment horizontal="center"/>
    </xf>
    <xf numFmtId="171" fontId="12" fillId="2" borderId="25" xfId="2" applyFill="1" applyBorder="1"/>
    <xf numFmtId="174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166" fontId="11" fillId="2" borderId="0" xfId="0" applyNumberFormat="1" applyFont="1" applyFill="1"/>
    <xf numFmtId="165" fontId="4" fillId="2" borderId="0" xfId="0" applyNumberFormat="1" applyFont="1" applyFill="1"/>
    <xf numFmtId="0" fontId="12" fillId="4" borderId="0" xfId="0" applyFont="1" applyFill="1" applyAlignment="1">
      <alignment horizontal="left"/>
    </xf>
    <xf numFmtId="0" fontId="32" fillId="2" borderId="0" xfId="0" applyFont="1" applyFill="1"/>
    <xf numFmtId="170" fontId="0" fillId="3" borderId="0" xfId="0" applyNumberFormat="1" applyFill="1"/>
    <xf numFmtId="10" fontId="24" fillId="4" borderId="0" xfId="0" applyNumberFormat="1" applyFont="1" applyFill="1"/>
    <xf numFmtId="180" fontId="33" fillId="4" borderId="0" xfId="2" applyNumberFormat="1" applyFont="1" applyFill="1"/>
    <xf numFmtId="0" fontId="18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0" fillId="2" borderId="4" xfId="0" applyFill="1" applyBorder="1"/>
    <xf numFmtId="175" fontId="0" fillId="2" borderId="1" xfId="0" applyNumberFormat="1" applyFill="1" applyBorder="1"/>
    <xf numFmtId="176" fontId="0" fillId="2" borderId="1" xfId="0" applyNumberFormat="1" applyFill="1" applyBorder="1"/>
    <xf numFmtId="168" fontId="0" fillId="2" borderId="1" xfId="0" applyNumberFormat="1" applyFill="1" applyBorder="1"/>
    <xf numFmtId="173" fontId="0" fillId="2" borderId="1" xfId="0" applyNumberFormat="1" applyFill="1" applyBorder="1"/>
    <xf numFmtId="0" fontId="0" fillId="2" borderId="1" xfId="0" applyFill="1" applyBorder="1"/>
    <xf numFmtId="171" fontId="28" fillId="9" borderId="26" xfId="2" applyFont="1" applyFill="1" applyBorder="1"/>
    <xf numFmtId="39" fontId="29" fillId="9" borderId="27" xfId="1" applyNumberFormat="1" applyFont="1" applyFill="1" applyBorder="1"/>
    <xf numFmtId="39" fontId="1" fillId="2" borderId="2" xfId="1" applyNumberFormat="1" applyFill="1" applyBorder="1"/>
    <xf numFmtId="171" fontId="12" fillId="2" borderId="28" xfId="2" applyFill="1" applyBorder="1"/>
    <xf numFmtId="173" fontId="1" fillId="2" borderId="28" xfId="3" applyFill="1" applyBorder="1"/>
    <xf numFmtId="166" fontId="12" fillId="2" borderId="0" xfId="0" applyNumberFormat="1" applyFont="1" applyFill="1"/>
    <xf numFmtId="0" fontId="18" fillId="2" borderId="1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71" fontId="12" fillId="2" borderId="16" xfId="2" applyFill="1" applyBorder="1"/>
    <xf numFmtId="171" fontId="12" fillId="2" borderId="29" xfId="2" applyFill="1" applyBorder="1"/>
    <xf numFmtId="0" fontId="18" fillId="0" borderId="0" xfId="0" applyFont="1" applyAlignment="1">
      <alignment horizontal="center"/>
    </xf>
    <xf numFmtId="0" fontId="0" fillId="0" borderId="5" xfId="0" applyBorder="1"/>
    <xf numFmtId="0" fontId="3" fillId="8" borderId="0" xfId="0" applyFont="1" applyFill="1"/>
    <xf numFmtId="10" fontId="1" fillId="2" borderId="0" xfId="3" applyNumberFormat="1" applyFill="1"/>
    <xf numFmtId="0" fontId="0" fillId="2" borderId="0" xfId="0" applyFill="1" applyAlignment="1">
      <alignment horizontal="left" vertical="top" wrapText="1" indent="1"/>
    </xf>
    <xf numFmtId="173" fontId="0" fillId="3" borderId="0" xfId="0" applyNumberFormat="1" applyFill="1"/>
    <xf numFmtId="181" fontId="0" fillId="4" borderId="0" xfId="0" applyNumberFormat="1" applyFill="1"/>
    <xf numFmtId="173" fontId="1" fillId="4" borderId="30" xfId="3" applyFill="1" applyBorder="1"/>
    <xf numFmtId="0" fontId="18" fillId="4" borderId="18" xfId="0" applyFont="1" applyFill="1" applyBorder="1" applyAlignment="1">
      <alignment horizontal="center"/>
    </xf>
    <xf numFmtId="0" fontId="8" fillId="4" borderId="18" xfId="0" applyFont="1" applyFill="1" applyBorder="1"/>
    <xf numFmtId="171" fontId="8" fillId="4" borderId="23" xfId="2" applyFont="1" applyFill="1" applyBorder="1"/>
    <xf numFmtId="171" fontId="8" fillId="4" borderId="24" xfId="2" applyFont="1" applyFill="1" applyBorder="1"/>
    <xf numFmtId="0" fontId="12" fillId="4" borderId="1" xfId="0" applyFont="1" applyFill="1" applyBorder="1" applyAlignment="1">
      <alignment horizontal="left" indent="1"/>
    </xf>
    <xf numFmtId="171" fontId="12" fillId="2" borderId="1" xfId="2" applyFill="1" applyBorder="1"/>
    <xf numFmtId="177" fontId="12" fillId="2" borderId="1" xfId="5" applyNumberFormat="1" applyFill="1" applyBorder="1"/>
    <xf numFmtId="171" fontId="12" fillId="2" borderId="3" xfId="2" applyFill="1" applyBorder="1"/>
    <xf numFmtId="171" fontId="28" fillId="9" borderId="27" xfId="2" applyFont="1" applyFill="1" applyBorder="1"/>
    <xf numFmtId="173" fontId="12" fillId="2" borderId="1" xfId="0" applyNumberFormat="1" applyFont="1" applyFill="1" applyBorder="1"/>
    <xf numFmtId="0" fontId="8" fillId="2" borderId="0" xfId="0" applyFont="1" applyFill="1"/>
    <xf numFmtId="0" fontId="7" fillId="2" borderId="5" xfId="0" applyFont="1" applyFill="1" applyBorder="1"/>
    <xf numFmtId="182" fontId="0" fillId="2" borderId="1" xfId="0" applyNumberFormat="1" applyFill="1" applyBorder="1"/>
    <xf numFmtId="0" fontId="18" fillId="0" borderId="18" xfId="0" applyFont="1" applyBorder="1" applyAlignment="1">
      <alignment horizontal="center"/>
    </xf>
    <xf numFmtId="0" fontId="8" fillId="0" borderId="19" xfId="0" applyFont="1" applyBorder="1"/>
    <xf numFmtId="171" fontId="8" fillId="0" borderId="18" xfId="2" applyFont="1" applyBorder="1"/>
    <xf numFmtId="171" fontId="8" fillId="0" borderId="19" xfId="2" applyFont="1" applyBorder="1"/>
    <xf numFmtId="173" fontId="0" fillId="2" borderId="5" xfId="3" applyFont="1" applyFill="1" applyBorder="1"/>
    <xf numFmtId="171" fontId="8" fillId="2" borderId="0" xfId="2" applyFont="1" applyFill="1"/>
    <xf numFmtId="0" fontId="0" fillId="12" borderId="0" xfId="0" applyFill="1"/>
    <xf numFmtId="165" fontId="0" fillId="2" borderId="0" xfId="0" applyNumberFormat="1" applyFill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0" fillId="4" borderId="1" xfId="0" applyFill="1" applyBorder="1"/>
    <xf numFmtId="0" fontId="0" fillId="4" borderId="4" xfId="0" applyFill="1" applyBorder="1"/>
    <xf numFmtId="175" fontId="0" fillId="4" borderId="1" xfId="0" applyNumberFormat="1" applyFill="1" applyBorder="1"/>
    <xf numFmtId="176" fontId="0" fillId="4" borderId="1" xfId="0" applyNumberFormat="1" applyFill="1" applyBorder="1"/>
    <xf numFmtId="168" fontId="0" fillId="4" borderId="1" xfId="0" applyNumberFormat="1" applyFill="1" applyBorder="1"/>
    <xf numFmtId="173" fontId="0" fillId="4" borderId="1" xfId="0" applyNumberFormat="1" applyFill="1" applyBorder="1"/>
    <xf numFmtId="171" fontId="28" fillId="11" borderId="26" xfId="2" applyFont="1" applyFill="1" applyBorder="1"/>
    <xf numFmtId="39" fontId="29" fillId="11" borderId="27" xfId="1" applyNumberFormat="1" applyFont="1" applyFill="1" applyBorder="1"/>
    <xf numFmtId="39" fontId="1" fillId="4" borderId="2" xfId="1" applyNumberFormat="1" applyFill="1" applyBorder="1"/>
    <xf numFmtId="171" fontId="12" fillId="4" borderId="28" xfId="2" applyFill="1" applyBorder="1"/>
    <xf numFmtId="173" fontId="1" fillId="4" borderId="28" xfId="3" applyFill="1" applyBorder="1"/>
    <xf numFmtId="0" fontId="24" fillId="2" borderId="0" xfId="0" applyFont="1" applyFill="1"/>
    <xf numFmtId="173" fontId="1" fillId="2" borderId="30" xfId="3" applyFill="1" applyBorder="1"/>
    <xf numFmtId="0" fontId="31" fillId="4" borderId="1" xfId="0" applyFont="1" applyFill="1" applyBorder="1" applyAlignment="1">
      <alignment horizontal="center"/>
    </xf>
    <xf numFmtId="0" fontId="34" fillId="4" borderId="4" xfId="0" applyFont="1" applyFill="1" applyBorder="1" applyAlignment="1">
      <alignment horizontal="right" wrapText="1"/>
    </xf>
    <xf numFmtId="171" fontId="8" fillId="4" borderId="0" xfId="2" applyFont="1" applyFill="1"/>
    <xf numFmtId="171" fontId="8" fillId="4" borderId="5" xfId="2" applyFont="1" applyFill="1" applyBorder="1"/>
    <xf numFmtId="171" fontId="8" fillId="2" borderId="6" xfId="2" applyFont="1" applyFill="1" applyBorder="1"/>
    <xf numFmtId="40" fontId="8" fillId="2" borderId="5" xfId="5" applyFont="1" applyFill="1" applyBorder="1"/>
    <xf numFmtId="40" fontId="8" fillId="2" borderId="0" xfId="5" applyFont="1" applyFill="1"/>
    <xf numFmtId="171" fontId="8" fillId="2" borderId="5" xfId="2" applyFont="1" applyFill="1" applyBorder="1"/>
    <xf numFmtId="173" fontId="24" fillId="2" borderId="0" xfId="3" applyFont="1" applyFill="1"/>
    <xf numFmtId="0" fontId="18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indent="1"/>
    </xf>
    <xf numFmtId="179" fontId="0" fillId="2" borderId="18" xfId="0" applyNumberFormat="1" applyFill="1" applyBorder="1" applyAlignment="1">
      <alignment horizontal="right"/>
    </xf>
    <xf numFmtId="0" fontId="14" fillId="8" borderId="0" xfId="0" applyFont="1" applyFill="1" applyAlignment="1">
      <alignment horizontal="left" indent="1"/>
    </xf>
    <xf numFmtId="165" fontId="11" fillId="2" borderId="0" xfId="0" applyNumberFormat="1" applyFont="1" applyFill="1"/>
    <xf numFmtId="171" fontId="12" fillId="2" borderId="11" xfId="2" applyFill="1" applyBorder="1"/>
    <xf numFmtId="171" fontId="12" fillId="2" borderId="12" xfId="2" applyFill="1" applyBorder="1"/>
    <xf numFmtId="171" fontId="0" fillId="2" borderId="0" xfId="0" applyNumberFormat="1" applyFill="1"/>
    <xf numFmtId="177" fontId="8" fillId="4" borderId="0" xfId="5" applyNumberFormat="1" applyFont="1" applyFill="1"/>
    <xf numFmtId="171" fontId="8" fillId="4" borderId="6" xfId="2" applyFont="1" applyFill="1" applyBorder="1"/>
    <xf numFmtId="171" fontId="8" fillId="11" borderId="0" xfId="2" applyFont="1" applyFill="1"/>
    <xf numFmtId="171" fontId="8" fillId="4" borderId="11" xfId="2" applyFont="1" applyFill="1" applyBorder="1"/>
    <xf numFmtId="173" fontId="1" fillId="4" borderId="11" xfId="3" applyFill="1" applyBorder="1"/>
    <xf numFmtId="40" fontId="8" fillId="4" borderId="5" xfId="5" applyFont="1" applyFill="1" applyBorder="1"/>
    <xf numFmtId="40" fontId="8" fillId="4" borderId="0" xfId="5" applyFont="1" applyFill="1"/>
    <xf numFmtId="173" fontId="24" fillId="4" borderId="0" xfId="3" applyFont="1" applyFill="1"/>
    <xf numFmtId="0" fontId="18" fillId="2" borderId="0" xfId="0" applyFont="1" applyFill="1"/>
    <xf numFmtId="0" fontId="0" fillId="2" borderId="0" xfId="0" applyFill="1" applyAlignment="1">
      <alignment horizontal="left" indent="1"/>
    </xf>
    <xf numFmtId="175" fontId="35" fillId="2" borderId="0" xfId="0" applyNumberFormat="1" applyFont="1" applyFill="1"/>
    <xf numFmtId="0" fontId="0" fillId="2" borderId="6" xfId="0" applyFill="1" applyBorder="1"/>
    <xf numFmtId="173" fontId="1" fillId="2" borderId="13" xfId="3" applyFill="1" applyBorder="1"/>
    <xf numFmtId="37" fontId="1" fillId="2" borderId="6" xfId="1" applyFill="1" applyBorder="1"/>
    <xf numFmtId="0" fontId="0" fillId="12" borderId="5" xfId="0" applyFill="1" applyBorder="1"/>
    <xf numFmtId="171" fontId="12" fillId="12" borderId="0" xfId="2" applyFill="1"/>
    <xf numFmtId="171" fontId="12" fillId="12" borderId="5" xfId="2" applyFill="1" applyBorder="1"/>
    <xf numFmtId="0" fontId="14" fillId="8" borderId="0" xfId="0" applyFont="1" applyFill="1"/>
    <xf numFmtId="0" fontId="18" fillId="4" borderId="18" xfId="0" applyFont="1" applyFill="1" applyBorder="1"/>
    <xf numFmtId="0" fontId="0" fillId="4" borderId="18" xfId="0" applyFill="1" applyBorder="1" applyAlignment="1">
      <alignment horizontal="left" indent="1"/>
    </xf>
    <xf numFmtId="173" fontId="0" fillId="4" borderId="18" xfId="3" applyFont="1" applyFill="1" applyBorder="1"/>
    <xf numFmtId="0" fontId="6" fillId="4" borderId="18" xfId="0" applyFont="1" applyFill="1" applyBorder="1"/>
    <xf numFmtId="0" fontId="24" fillId="4" borderId="18" xfId="0" applyFont="1" applyFill="1" applyBorder="1"/>
    <xf numFmtId="0" fontId="7" fillId="4" borderId="18" xfId="0" applyFont="1" applyFill="1" applyBorder="1"/>
    <xf numFmtId="173" fontId="1" fillId="4" borderId="31" xfId="3" applyFill="1" applyBorder="1"/>
    <xf numFmtId="175" fontId="0" fillId="4" borderId="18" xfId="0" applyNumberFormat="1" applyFill="1" applyBorder="1"/>
    <xf numFmtId="176" fontId="0" fillId="4" borderId="18" xfId="0" applyNumberFormat="1" applyFill="1" applyBorder="1"/>
    <xf numFmtId="173" fontId="0" fillId="4" borderId="18" xfId="0" applyNumberFormat="1" applyFill="1" applyBorder="1"/>
    <xf numFmtId="168" fontId="0" fillId="4" borderId="18" xfId="0" applyNumberFormat="1" applyFill="1" applyBorder="1"/>
    <xf numFmtId="0" fontId="0" fillId="4" borderId="18" xfId="0" applyFill="1" applyBorder="1"/>
    <xf numFmtId="0" fontId="0" fillId="4" borderId="32" xfId="0" applyFill="1" applyBorder="1"/>
    <xf numFmtId="173" fontId="1" fillId="4" borderId="33" xfId="3" applyFill="1" applyBorder="1"/>
    <xf numFmtId="39" fontId="1" fillId="4" borderId="31" xfId="1" applyNumberFormat="1" applyFill="1" applyBorder="1"/>
    <xf numFmtId="37" fontId="1" fillId="4" borderId="33" xfId="1" applyFill="1" applyBorder="1"/>
    <xf numFmtId="165" fontId="0" fillId="3" borderId="0" xfId="0" applyNumberFormat="1" applyFill="1" applyAlignment="1">
      <alignment horizontal="center"/>
    </xf>
    <xf numFmtId="167" fontId="8" fillId="4" borderId="6" xfId="2" applyNumberFormat="1" applyFont="1" applyFill="1" applyBorder="1"/>
    <xf numFmtId="0" fontId="18" fillId="4" borderId="11" xfId="0" applyFont="1" applyFill="1" applyBorder="1" applyAlignment="1">
      <alignment horizontal="center" vertical="center"/>
    </xf>
    <xf numFmtId="0" fontId="8" fillId="4" borderId="11" xfId="0" applyFont="1" applyFill="1" applyBorder="1"/>
    <xf numFmtId="0" fontId="7" fillId="4" borderId="12" xfId="0" applyFont="1" applyFill="1" applyBorder="1"/>
    <xf numFmtId="37" fontId="24" fillId="4" borderId="13" xfId="1" applyFont="1" applyFill="1" applyBorder="1"/>
    <xf numFmtId="173" fontId="24" fillId="4" borderId="11" xfId="3" applyFont="1" applyFill="1" applyBorder="1"/>
    <xf numFmtId="184" fontId="0" fillId="2" borderId="1" xfId="0" applyNumberFormat="1" applyFill="1" applyBorder="1"/>
    <xf numFmtId="184" fontId="0" fillId="2" borderId="3" xfId="0" applyNumberFormat="1" applyFill="1" applyBorder="1"/>
    <xf numFmtId="0" fontId="36" fillId="2" borderId="1" xfId="0" applyFont="1" applyFill="1" applyBorder="1" applyAlignment="1">
      <alignment horizontal="left" indent="1"/>
    </xf>
    <xf numFmtId="184" fontId="28" fillId="9" borderId="27" xfId="0" applyNumberFormat="1" applyFont="1" applyFill="1" applyBorder="1"/>
    <xf numFmtId="184" fontId="32" fillId="2" borderId="1" xfId="0" applyNumberFormat="1" applyFont="1" applyFill="1" applyBorder="1"/>
    <xf numFmtId="173" fontId="36" fillId="2" borderId="1" xfId="0" applyNumberFormat="1" applyFont="1" applyFill="1" applyBorder="1"/>
    <xf numFmtId="0" fontId="18" fillId="2" borderId="31" xfId="0" applyFont="1" applyFill="1" applyBorder="1" applyAlignment="1">
      <alignment horizontal="center" vertical="center"/>
    </xf>
    <xf numFmtId="0" fontId="8" fillId="2" borderId="18" xfId="0" applyFont="1" applyFill="1" applyBorder="1"/>
    <xf numFmtId="0" fontId="7" fillId="2" borderId="19" xfId="0" applyFont="1" applyFill="1" applyBorder="1"/>
    <xf numFmtId="0" fontId="24" fillId="2" borderId="32" xfId="0" applyFont="1" applyFill="1" applyBorder="1" applyAlignment="1">
      <alignment horizontal="right"/>
    </xf>
    <xf numFmtId="173" fontId="24" fillId="2" borderId="18" xfId="3" applyFont="1" applyFill="1" applyBorder="1"/>
    <xf numFmtId="0" fontId="31" fillId="2" borderId="1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right" wrapText="1"/>
    </xf>
    <xf numFmtId="0" fontId="0" fillId="2" borderId="16" xfId="0" applyFill="1" applyBorder="1" applyAlignment="1">
      <alignment horizontal="center"/>
    </xf>
    <xf numFmtId="166" fontId="0" fillId="2" borderId="16" xfId="0" applyNumberFormat="1" applyFill="1" applyBorder="1"/>
    <xf numFmtId="40" fontId="12" fillId="2" borderId="16" xfId="5" applyFill="1" applyBorder="1"/>
    <xf numFmtId="173" fontId="0" fillId="2" borderId="16" xfId="3" applyFont="1" applyFill="1" applyBorder="1"/>
    <xf numFmtId="0" fontId="18" fillId="2" borderId="17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40" fontId="12" fillId="2" borderId="17" xfId="5" applyFill="1" applyBorder="1" applyAlignment="1">
      <alignment horizontal="center"/>
    </xf>
    <xf numFmtId="171" fontId="12" fillId="2" borderId="17" xfId="2" applyFill="1" applyBorder="1"/>
    <xf numFmtId="0" fontId="23" fillId="2" borderId="17" xfId="0" applyFont="1" applyFill="1" applyBorder="1" applyAlignment="1">
      <alignment horizontal="center"/>
    </xf>
    <xf numFmtId="168" fontId="0" fillId="2" borderId="17" xfId="0" applyNumberFormat="1" applyFill="1" applyBorder="1" applyAlignment="1">
      <alignment horizontal="center"/>
    </xf>
    <xf numFmtId="168" fontId="0" fillId="2" borderId="34" xfId="0" applyNumberFormat="1" applyFill="1" applyBorder="1" applyAlignment="1">
      <alignment horizontal="center"/>
    </xf>
    <xf numFmtId="2" fontId="0" fillId="2" borderId="16" xfId="0" applyNumberFormat="1" applyFill="1" applyBorder="1"/>
    <xf numFmtId="0" fontId="0" fillId="2" borderId="16" xfId="0" applyFill="1" applyBorder="1"/>
    <xf numFmtId="0" fontId="12" fillId="2" borderId="16" xfId="0" applyFont="1" applyFill="1" applyBorder="1"/>
    <xf numFmtId="37" fontId="0" fillId="0" borderId="16" xfId="1" applyFont="1" applyBorder="1"/>
    <xf numFmtId="2" fontId="0" fillId="2" borderId="16" xfId="0" applyNumberFormat="1" applyFill="1" applyBorder="1" applyAlignment="1">
      <alignment horizontal="right" vertical="center"/>
    </xf>
    <xf numFmtId="174" fontId="0" fillId="2" borderId="16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171" fontId="12" fillId="0" borderId="16" xfId="2" applyBorder="1"/>
    <xf numFmtId="0" fontId="8" fillId="4" borderId="1" xfId="0" applyFont="1" applyFill="1" applyBorder="1"/>
    <xf numFmtId="171" fontId="8" fillId="4" borderId="1" xfId="2" applyFont="1" applyFill="1" applyBorder="1"/>
    <xf numFmtId="177" fontId="8" fillId="4" borderId="1" xfId="5" applyNumberFormat="1" applyFont="1" applyFill="1" applyBorder="1"/>
    <xf numFmtId="171" fontId="8" fillId="4" borderId="3" xfId="2" applyFont="1" applyFill="1" applyBorder="1"/>
    <xf numFmtId="171" fontId="8" fillId="11" borderId="27" xfId="2" applyFont="1" applyFill="1" applyBorder="1"/>
    <xf numFmtId="173" fontId="12" fillId="4" borderId="1" xfId="0" applyNumberFormat="1" applyFont="1" applyFill="1" applyBorder="1"/>
    <xf numFmtId="0" fontId="2" fillId="2" borderId="0" xfId="0" applyFont="1" applyFill="1"/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180" fontId="12" fillId="2" borderId="0" xfId="0" applyNumberFormat="1" applyFont="1" applyFill="1"/>
    <xf numFmtId="0" fontId="18" fillId="13" borderId="0" xfId="0" applyFont="1" applyFill="1" applyAlignment="1">
      <alignment horizontal="center"/>
    </xf>
    <xf numFmtId="0" fontId="8" fillId="13" borderId="0" xfId="0" applyFont="1" applyFill="1"/>
    <xf numFmtId="0" fontId="7" fillId="13" borderId="5" xfId="0" applyFont="1" applyFill="1" applyBorder="1"/>
    <xf numFmtId="171" fontId="12" fillId="13" borderId="11" xfId="2" applyFill="1" applyBorder="1"/>
    <xf numFmtId="171" fontId="12" fillId="13" borderId="12" xfId="2" applyFill="1" applyBorder="1"/>
    <xf numFmtId="0" fontId="24" fillId="4" borderId="18" xfId="0" applyFont="1" applyFill="1" applyBorder="1" applyAlignment="1">
      <alignment horizontal="center"/>
    </xf>
    <xf numFmtId="166" fontId="24" fillId="4" borderId="18" xfId="0" applyNumberFormat="1" applyFont="1" applyFill="1" applyBorder="1" applyAlignment="1">
      <alignment horizontal="center"/>
    </xf>
    <xf numFmtId="168" fontId="24" fillId="4" borderId="18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0" fontId="24" fillId="12" borderId="35" xfId="0" applyFont="1" applyFill="1" applyBorder="1" applyAlignment="1">
      <alignment horizontal="center"/>
    </xf>
    <xf numFmtId="40" fontId="8" fillId="12" borderId="4" xfId="5" applyFont="1" applyFill="1" applyBorder="1" applyAlignment="1">
      <alignment horizontal="center"/>
    </xf>
    <xf numFmtId="171" fontId="8" fillId="12" borderId="1" xfId="2" applyFont="1" applyFill="1" applyBorder="1"/>
    <xf numFmtId="171" fontId="8" fillId="12" borderId="4" xfId="2" applyFont="1" applyFill="1" applyBorder="1"/>
    <xf numFmtId="170" fontId="4" fillId="2" borderId="0" xfId="0" applyNumberFormat="1" applyFont="1" applyFill="1" applyAlignment="1">
      <alignment horizontal="justify" vertical="distributed"/>
    </xf>
    <xf numFmtId="170" fontId="4" fillId="3" borderId="0" xfId="0" applyNumberFormat="1" applyFont="1" applyFill="1" applyAlignment="1">
      <alignment horizontal="justify" vertical="distributed"/>
    </xf>
    <xf numFmtId="0" fontId="7" fillId="4" borderId="7" xfId="0" applyFont="1" applyFill="1" applyBorder="1" applyAlignment="1">
      <alignment horizontal="center"/>
    </xf>
    <xf numFmtId="168" fontId="7" fillId="4" borderId="5" xfId="0" applyNumberFormat="1" applyFont="1" applyFill="1" applyBorder="1" applyAlignment="1">
      <alignment horizontal="center"/>
    </xf>
    <xf numFmtId="168" fontId="7" fillId="4" borderId="7" xfId="0" applyNumberFormat="1" applyFont="1" applyFill="1" applyBorder="1" applyAlignment="1">
      <alignment horizontal="center"/>
    </xf>
    <xf numFmtId="171" fontId="6" fillId="4" borderId="0" xfId="2" applyFont="1" applyFill="1"/>
    <xf numFmtId="171" fontId="6" fillId="4" borderId="5" xfId="2" applyFont="1" applyFill="1" applyBorder="1"/>
    <xf numFmtId="2" fontId="7" fillId="4" borderId="0" xfId="0" applyNumberFormat="1" applyFont="1" applyFill="1"/>
    <xf numFmtId="0" fontId="4" fillId="3" borderId="0" xfId="0" applyFont="1" applyFill="1"/>
    <xf numFmtId="37" fontId="0" fillId="4" borderId="23" xfId="1" applyFont="1" applyFill="1" applyBorder="1"/>
    <xf numFmtId="2" fontId="24" fillId="4" borderId="18" xfId="0" applyNumberFormat="1" applyFont="1" applyFill="1" applyBorder="1" applyAlignment="1">
      <alignment horizontal="right" vertical="center"/>
    </xf>
    <xf numFmtId="185" fontId="8" fillId="4" borderId="18" xfId="0" applyNumberFormat="1" applyFont="1" applyFill="1" applyBorder="1" applyAlignment="1">
      <alignment horizontal="center"/>
    </xf>
    <xf numFmtId="185" fontId="12" fillId="2" borderId="0" xfId="0" applyNumberFormat="1" applyFont="1" applyFill="1" applyAlignment="1">
      <alignment horizontal="center"/>
    </xf>
    <xf numFmtId="185" fontId="12" fillId="3" borderId="0" xfId="0" applyNumberFormat="1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173" fontId="24" fillId="4" borderId="0" xfId="0" applyNumberFormat="1" applyFont="1" applyFill="1" applyAlignment="1">
      <alignment horizontal="center"/>
    </xf>
    <xf numFmtId="186" fontId="24" fillId="4" borderId="0" xfId="0" applyNumberFormat="1" applyFont="1" applyFill="1" applyAlignment="1">
      <alignment horizontal="center"/>
    </xf>
    <xf numFmtId="0" fontId="24" fillId="4" borderId="5" xfId="0" applyFont="1" applyFill="1" applyBorder="1" applyAlignment="1">
      <alignment horizontal="center"/>
    </xf>
    <xf numFmtId="10" fontId="0" fillId="2" borderId="0" xfId="0" applyNumberFormat="1" applyFill="1"/>
    <xf numFmtId="0" fontId="10" fillId="2" borderId="0" xfId="0" applyFont="1" applyFill="1" applyAlignment="1">
      <alignment horizontal="center"/>
    </xf>
    <xf numFmtId="0" fontId="18" fillId="2" borderId="19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173" fontId="24" fillId="2" borderId="19" xfId="0" applyNumberFormat="1" applyFont="1" applyFill="1" applyBorder="1" applyAlignment="1">
      <alignment vertical="center"/>
    </xf>
    <xf numFmtId="173" fontId="24" fillId="2" borderId="18" xfId="0" applyNumberFormat="1" applyFont="1" applyFill="1" applyBorder="1" applyAlignment="1">
      <alignment vertical="center"/>
    </xf>
    <xf numFmtId="173" fontId="0" fillId="2" borderId="0" xfId="0" applyNumberFormat="1" applyFill="1" applyAlignment="1">
      <alignment vertical="center"/>
    </xf>
    <xf numFmtId="173" fontId="0" fillId="3" borderId="0" xfId="0" applyNumberFormat="1" applyFill="1" applyAlignment="1">
      <alignment vertical="center"/>
    </xf>
    <xf numFmtId="0" fontId="23" fillId="2" borderId="19" xfId="0" applyFont="1" applyFill="1" applyBorder="1" applyAlignment="1">
      <alignment horizontal="center"/>
    </xf>
    <xf numFmtId="173" fontId="7" fillId="2" borderId="19" xfId="0" applyNumberFormat="1" applyFont="1" applyFill="1" applyBorder="1" applyAlignment="1">
      <alignment vertical="center"/>
    </xf>
    <xf numFmtId="0" fontId="7" fillId="2" borderId="18" xfId="0" applyFont="1" applyFill="1" applyBorder="1"/>
    <xf numFmtId="173" fontId="7" fillId="2" borderId="19" xfId="0" applyNumberFormat="1" applyFont="1" applyFill="1" applyBorder="1"/>
    <xf numFmtId="0" fontId="7" fillId="2" borderId="32" xfId="0" applyFont="1" applyFill="1" applyBorder="1"/>
    <xf numFmtId="173" fontId="7" fillId="2" borderId="18" xfId="0" applyNumberFormat="1" applyFont="1" applyFill="1" applyBorder="1"/>
    <xf numFmtId="0" fontId="11" fillId="3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10" fontId="8" fillId="2" borderId="19" xfId="0" applyNumberFormat="1" applyFont="1" applyFill="1" applyBorder="1" applyAlignment="1">
      <alignment vertical="center"/>
    </xf>
    <xf numFmtId="10" fontId="8" fillId="2" borderId="18" xfId="0" applyNumberFormat="1" applyFont="1" applyFill="1" applyBorder="1" applyAlignment="1">
      <alignment vertical="center"/>
    </xf>
    <xf numFmtId="0" fontId="18" fillId="10" borderId="36" xfId="0" applyFont="1" applyFill="1" applyBorder="1" applyAlignment="1">
      <alignment horizontal="center"/>
    </xf>
    <xf numFmtId="0" fontId="24" fillId="10" borderId="37" xfId="0" applyFont="1" applyFill="1" applyBorder="1" applyAlignment="1">
      <alignment horizontal="center"/>
    </xf>
    <xf numFmtId="2" fontId="24" fillId="10" borderId="37" xfId="0" applyNumberFormat="1" applyFont="1" applyFill="1" applyBorder="1" applyAlignment="1">
      <alignment horizontal="right" vertical="center"/>
    </xf>
    <xf numFmtId="164" fontId="7" fillId="10" borderId="38" xfId="0" applyNumberFormat="1" applyFont="1" applyFill="1" applyBorder="1"/>
    <xf numFmtId="171" fontId="8" fillId="10" borderId="36" xfId="2" applyFont="1" applyFill="1" applyBorder="1"/>
    <xf numFmtId="164" fontId="24" fillId="10" borderId="38" xfId="0" applyNumberFormat="1" applyFont="1" applyFill="1" applyBorder="1"/>
    <xf numFmtId="171" fontId="8" fillId="10" borderId="38" xfId="2" applyFont="1" applyFill="1" applyBorder="1"/>
    <xf numFmtId="0" fontId="24" fillId="10" borderId="39" xfId="0" applyFont="1" applyFill="1" applyBorder="1"/>
    <xf numFmtId="0" fontId="8" fillId="10" borderId="38" xfId="0" applyFont="1" applyFill="1" applyBorder="1"/>
    <xf numFmtId="164" fontId="24" fillId="10" borderId="39" xfId="0" applyNumberFormat="1" applyFont="1" applyFill="1" applyBorder="1"/>
    <xf numFmtId="173" fontId="11" fillId="3" borderId="0" xfId="0" applyNumberFormat="1" applyFont="1" applyFill="1"/>
    <xf numFmtId="170" fontId="37" fillId="2" borderId="0" xfId="0" applyNumberFormat="1" applyFont="1" applyFill="1" applyAlignment="1">
      <alignment vertical="top"/>
    </xf>
    <xf numFmtId="170" fontId="0" fillId="2" borderId="0" xfId="0" applyNumberFormat="1" applyFill="1" applyAlignment="1">
      <alignment vertical="top" wrapText="1"/>
    </xf>
    <xf numFmtId="171" fontId="12" fillId="4" borderId="1" xfId="2" applyFill="1" applyBorder="1"/>
    <xf numFmtId="177" fontId="12" fillId="4" borderId="1" xfId="5" applyNumberFormat="1" applyFill="1" applyBorder="1"/>
    <xf numFmtId="171" fontId="12" fillId="4" borderId="3" xfId="2" applyFill="1" applyBorder="1"/>
    <xf numFmtId="171" fontId="28" fillId="11" borderId="27" xfId="2" applyFont="1" applyFill="1" applyBorder="1"/>
    <xf numFmtId="0" fontId="31" fillId="13" borderId="0" xfId="0" applyFont="1" applyFill="1" applyAlignment="1">
      <alignment horizontal="center"/>
    </xf>
    <xf numFmtId="0" fontId="30" fillId="13" borderId="5" xfId="0" applyFont="1" applyFill="1" applyBorder="1" applyAlignment="1">
      <alignment horizontal="left" wrapText="1"/>
    </xf>
    <xf numFmtId="171" fontId="12" fillId="13" borderId="0" xfId="2" applyFill="1"/>
    <xf numFmtId="171" fontId="12" fillId="13" borderId="5" xfId="2" applyFill="1" applyBorder="1"/>
    <xf numFmtId="0" fontId="38" fillId="2" borderId="0" xfId="0" applyFont="1" applyFill="1"/>
    <xf numFmtId="0" fontId="4" fillId="3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164" fontId="8" fillId="2" borderId="18" xfId="0" applyNumberFormat="1" applyFont="1" applyFill="1" applyBorder="1" applyAlignment="1">
      <alignment vertical="center"/>
    </xf>
    <xf numFmtId="171" fontId="8" fillId="2" borderId="19" xfId="0" applyNumberFormat="1" applyFont="1" applyFill="1" applyBorder="1" applyAlignment="1">
      <alignment vertical="center"/>
    </xf>
    <xf numFmtId="10" fontId="11" fillId="2" borderId="0" xfId="0" applyNumberFormat="1" applyFont="1" applyFill="1"/>
    <xf numFmtId="10" fontId="24" fillId="2" borderId="0" xfId="0" applyNumberFormat="1" applyFont="1" applyFill="1"/>
    <xf numFmtId="171" fontId="24" fillId="2" borderId="0" xfId="0" applyNumberFormat="1" applyFont="1" applyFill="1"/>
    <xf numFmtId="177" fontId="8" fillId="2" borderId="0" xfId="5" applyNumberFormat="1" applyFont="1" applyFill="1"/>
    <xf numFmtId="171" fontId="24" fillId="2" borderId="6" xfId="0" applyNumberFormat="1" applyFont="1" applyFill="1" applyBorder="1"/>
    <xf numFmtId="171" fontId="8" fillId="9" borderId="0" xfId="0" applyNumberFormat="1" applyFont="1" applyFill="1"/>
    <xf numFmtId="171" fontId="4" fillId="2" borderId="0" xfId="0" applyNumberFormat="1" applyFont="1" applyFill="1" applyAlignment="1">
      <alignment horizontal="right"/>
    </xf>
    <xf numFmtId="171" fontId="24" fillId="4" borderId="0" xfId="0" applyNumberFormat="1" applyFont="1" applyFill="1"/>
    <xf numFmtId="171" fontId="24" fillId="4" borderId="6" xfId="0" applyNumberFormat="1" applyFont="1" applyFill="1" applyBorder="1"/>
    <xf numFmtId="171" fontId="8" fillId="11" borderId="0" xfId="0" applyNumberFormat="1" applyFont="1" applyFill="1"/>
    <xf numFmtId="0" fontId="5" fillId="2" borderId="0" xfId="0" applyFont="1" applyFill="1" applyAlignment="1">
      <alignment vertical="top" wrapText="1"/>
    </xf>
    <xf numFmtId="10" fontId="5" fillId="2" borderId="0" xfId="0" applyNumberFormat="1" applyFont="1" applyFill="1"/>
    <xf numFmtId="37" fontId="1" fillId="2" borderId="0" xfId="1" applyFill="1"/>
    <xf numFmtId="40" fontId="12" fillId="4" borderId="1" xfId="5" applyFill="1" applyBorder="1"/>
    <xf numFmtId="179" fontId="0" fillId="2" borderId="0" xfId="0" applyNumberFormat="1" applyFill="1"/>
    <xf numFmtId="0" fontId="18" fillId="13" borderId="1" xfId="0" applyFont="1" applyFill="1" applyBorder="1" applyAlignment="1">
      <alignment horizontal="center"/>
    </xf>
    <xf numFmtId="0" fontId="31" fillId="13" borderId="1" xfId="0" applyFont="1" applyFill="1" applyBorder="1" applyAlignment="1">
      <alignment horizontal="center"/>
    </xf>
    <xf numFmtId="0" fontId="34" fillId="13" borderId="4" xfId="0" applyFont="1" applyFill="1" applyBorder="1" applyAlignment="1">
      <alignment horizontal="right" wrapText="1"/>
    </xf>
    <xf numFmtId="171" fontId="8" fillId="13" borderId="0" xfId="2" applyFont="1" applyFill="1"/>
    <xf numFmtId="171" fontId="8" fillId="13" borderId="5" xfId="2" applyFont="1" applyFill="1" applyBorder="1"/>
    <xf numFmtId="0" fontId="5" fillId="3" borderId="0" xfId="0" applyFont="1" applyFill="1"/>
    <xf numFmtId="173" fontId="0" fillId="2" borderId="1" xfId="3" applyFont="1" applyFill="1" applyBorder="1"/>
    <xf numFmtId="173" fontId="0" fillId="2" borderId="3" xfId="3" applyFont="1" applyFill="1" applyBorder="1"/>
    <xf numFmtId="173" fontId="28" fillId="9" borderId="27" xfId="3" applyFont="1" applyFill="1" applyBorder="1"/>
    <xf numFmtId="173" fontId="0" fillId="2" borderId="11" xfId="3" applyFont="1" applyFill="1" applyBorder="1"/>
    <xf numFmtId="180" fontId="12" fillId="3" borderId="0" xfId="0" applyNumberFormat="1" applyFont="1" applyFill="1"/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8" borderId="11" xfId="0" applyFont="1" applyFill="1" applyBorder="1"/>
    <xf numFmtId="0" fontId="8" fillId="4" borderId="0" xfId="0" applyFont="1" applyFill="1" applyAlignment="1">
      <alignment horizontal="left" vertical="top" wrapText="1"/>
    </xf>
    <xf numFmtId="165" fontId="24" fillId="4" borderId="0" xfId="0" applyNumberFormat="1" applyFont="1" applyFill="1" applyAlignment="1">
      <alignment vertical="center" wrapText="1"/>
    </xf>
    <xf numFmtId="0" fontId="24" fillId="4" borderId="6" xfId="0" applyFont="1" applyFill="1" applyBorder="1" applyAlignment="1">
      <alignment horizontal="center" vertical="center" wrapText="1"/>
    </xf>
    <xf numFmtId="165" fontId="39" fillId="11" borderId="0" xfId="0" applyNumberFormat="1" applyFont="1" applyFill="1" applyAlignment="1">
      <alignment vertical="center" wrapText="1"/>
    </xf>
    <xf numFmtId="173" fontId="1" fillId="4" borderId="40" xfId="3" applyFill="1" applyBorder="1" applyAlignment="1">
      <alignment vertical="center" wrapText="1"/>
    </xf>
    <xf numFmtId="0" fontId="3" fillId="2" borderId="0" xfId="0" applyFont="1" applyFill="1" applyAlignment="1">
      <alignment horizontal="right"/>
    </xf>
    <xf numFmtId="0" fontId="8" fillId="2" borderId="18" xfId="0" applyFont="1" applyFill="1" applyBorder="1" applyAlignment="1">
      <alignment horizontal="left" vertical="top" wrapText="1"/>
    </xf>
    <xf numFmtId="166" fontId="24" fillId="2" borderId="18" xfId="0" applyNumberFormat="1" applyFont="1" applyFill="1" applyBorder="1" applyAlignment="1">
      <alignment vertical="center" wrapText="1"/>
    </xf>
    <xf numFmtId="0" fontId="24" fillId="2" borderId="32" xfId="0" applyFont="1" applyFill="1" applyBorder="1" applyAlignment="1">
      <alignment horizontal="center" vertical="center" wrapText="1"/>
    </xf>
    <xf numFmtId="166" fontId="39" fillId="9" borderId="41" xfId="0" applyNumberFormat="1" applyFont="1" applyFill="1" applyBorder="1" applyAlignment="1">
      <alignment vertical="center" wrapText="1"/>
    </xf>
    <xf numFmtId="172" fontId="24" fillId="2" borderId="18" xfId="0" applyNumberFormat="1" applyFont="1" applyFill="1" applyBorder="1" applyAlignment="1">
      <alignment vertical="center" wrapText="1"/>
    </xf>
    <xf numFmtId="173" fontId="1" fillId="2" borderId="18" xfId="3" applyFill="1" applyBorder="1"/>
    <xf numFmtId="0" fontId="11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0" fillId="2" borderId="0" xfId="0" applyFont="1" applyFill="1"/>
    <xf numFmtId="165" fontId="11" fillId="2" borderId="0" xfId="0" applyNumberFormat="1" applyFont="1" applyFill="1" applyAlignment="1">
      <alignment horizontal="right"/>
    </xf>
    <xf numFmtId="0" fontId="31" fillId="2" borderId="16" xfId="0" applyFont="1" applyFill="1" applyBorder="1" applyAlignment="1">
      <alignment horizontal="center"/>
    </xf>
    <xf numFmtId="0" fontId="34" fillId="2" borderId="17" xfId="0" applyFont="1" applyFill="1" applyBorder="1" applyAlignment="1">
      <alignment horizontal="right" wrapText="1"/>
    </xf>
    <xf numFmtId="0" fontId="41" fillId="4" borderId="18" xfId="0" applyFont="1" applyFill="1" applyBorder="1"/>
    <xf numFmtId="0" fontId="8" fillId="4" borderId="19" xfId="0" applyFont="1" applyFill="1" applyBorder="1"/>
    <xf numFmtId="0" fontId="42" fillId="2" borderId="0" xfId="0" applyFont="1" applyFill="1"/>
    <xf numFmtId="0" fontId="2" fillId="2" borderId="0" xfId="0" applyFont="1" applyFill="1" applyAlignment="1">
      <alignment horizontal="center" vertical="top"/>
    </xf>
    <xf numFmtId="175" fontId="0" fillId="3" borderId="0" xfId="0" applyNumberFormat="1" applyFill="1"/>
    <xf numFmtId="166" fontId="42" fillId="2" borderId="0" xfId="0" applyNumberFormat="1" applyFont="1" applyFill="1"/>
    <xf numFmtId="164" fontId="42" fillId="2" borderId="0" xfId="0" applyNumberFormat="1" applyFont="1" applyFill="1"/>
    <xf numFmtId="173" fontId="42" fillId="2" borderId="0" xfId="0" applyNumberFormat="1" applyFont="1" applyFill="1"/>
    <xf numFmtId="171" fontId="12" fillId="2" borderId="0" xfId="0" applyNumberFormat="1" applyFont="1" applyFill="1"/>
    <xf numFmtId="10" fontId="12" fillId="2" borderId="0" xfId="3" applyNumberFormat="1" applyFont="1" applyFill="1"/>
    <xf numFmtId="10" fontId="12" fillId="2" borderId="0" xfId="0" applyNumberFormat="1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top"/>
    </xf>
    <xf numFmtId="0" fontId="6" fillId="14" borderId="0" xfId="0" applyFont="1" applyFill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0" fontId="7" fillId="14" borderId="0" xfId="0" applyFont="1" applyFill="1"/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0" borderId="0" xfId="0" applyFont="1"/>
    <xf numFmtId="0" fontId="15" fillId="5" borderId="1" xfId="0" applyFont="1" applyFill="1" applyBorder="1"/>
    <xf numFmtId="0" fontId="15" fillId="5" borderId="1" xfId="0" applyFont="1" applyFill="1" applyBorder="1" applyAlignment="1">
      <alignment horizontal="center" wrapText="1"/>
    </xf>
    <xf numFmtId="0" fontId="3" fillId="14" borderId="0" xfId="0" applyFont="1" applyFill="1" applyAlignment="1">
      <alignment horizontal="center" vertical="center" wrapText="1"/>
    </xf>
    <xf numFmtId="0" fontId="7" fillId="5" borderId="1" xfId="0" applyFont="1" applyFill="1" applyBorder="1"/>
    <xf numFmtId="166" fontId="14" fillId="5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14" borderId="0" xfId="0" applyFill="1" applyAlignment="1">
      <alignment horizontal="center" wrapText="1"/>
    </xf>
    <xf numFmtId="0" fontId="14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5" fillId="5" borderId="9" xfId="0" applyFont="1" applyFill="1" applyBorder="1"/>
    <xf numFmtId="0" fontId="0" fillId="14" borderId="0" xfId="0" applyFill="1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/>
    </xf>
    <xf numFmtId="2" fontId="14" fillId="5" borderId="1" xfId="0" applyNumberFormat="1" applyFont="1" applyFill="1" applyBorder="1" applyAlignment="1">
      <alignment horizontal="center" vertical="center" wrapText="1"/>
    </xf>
    <xf numFmtId="2" fontId="14" fillId="15" borderId="1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/>
    <xf numFmtId="2" fontId="14" fillId="15" borderId="1" xfId="0" applyNumberFormat="1" applyFont="1" applyFill="1" applyBorder="1" applyAlignment="1">
      <alignment horizontal="left" vertical="center" wrapText="1"/>
    </xf>
    <xf numFmtId="2" fontId="14" fillId="15" borderId="0" xfId="0" applyNumberFormat="1" applyFont="1" applyFill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14" borderId="0" xfId="0" quotePrefix="1" applyFont="1" applyFill="1" applyAlignment="1">
      <alignment horizontal="center" vertical="center"/>
    </xf>
    <xf numFmtId="2" fontId="18" fillId="0" borderId="0" xfId="0" applyNumberFormat="1" applyFont="1" applyAlignment="1">
      <alignment horizontal="center" vertical="center" wrapText="1"/>
    </xf>
    <xf numFmtId="0" fontId="18" fillId="2" borderId="0" xfId="0" quotePrefix="1" applyFont="1" applyFill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18" fillId="2" borderId="11" xfId="0" quotePrefix="1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/>
    </xf>
    <xf numFmtId="0" fontId="0" fillId="10" borderId="0" xfId="0" applyFill="1" applyAlignment="1">
      <alignment horizontal="left" wrapText="1"/>
    </xf>
    <xf numFmtId="173" fontId="0" fillId="10" borderId="0" xfId="3" applyFont="1" applyFill="1" applyAlignment="1">
      <alignment horizontal="center"/>
    </xf>
    <xf numFmtId="40" fontId="12" fillId="10" borderId="0" xfId="5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vertical="top" wrapText="1"/>
    </xf>
    <xf numFmtId="164" fontId="0" fillId="2" borderId="0" xfId="0" applyNumberFormat="1" applyFill="1" applyAlignment="1">
      <alignment vertical="top"/>
    </xf>
    <xf numFmtId="164" fontId="0" fillId="2" borderId="0" xfId="0" applyNumberFormat="1" applyFill="1" applyAlignment="1">
      <alignment horizontal="right" wrapText="1"/>
    </xf>
    <xf numFmtId="164" fontId="0" fillId="14" borderId="0" xfId="0" applyNumberFormat="1" applyFill="1" applyAlignment="1">
      <alignment horizontal="right" wrapText="1"/>
    </xf>
    <xf numFmtId="0" fontId="30" fillId="2" borderId="0" xfId="0" applyFont="1" applyFill="1" applyAlignment="1">
      <alignment horizontal="center" vertical="top" wrapText="1"/>
    </xf>
    <xf numFmtId="166" fontId="0" fillId="2" borderId="0" xfId="0" applyNumberFormat="1" applyFill="1" applyAlignment="1">
      <alignment vertical="top"/>
    </xf>
    <xf numFmtId="172" fontId="0" fillId="2" borderId="0" xfId="0" applyNumberFormat="1" applyFill="1" applyAlignment="1">
      <alignment vertical="top"/>
    </xf>
    <xf numFmtId="183" fontId="0" fillId="2" borderId="0" xfId="0" applyNumberFormat="1" applyFill="1"/>
    <xf numFmtId="173" fontId="0" fillId="2" borderId="0" xfId="3" applyFont="1" applyFill="1" applyAlignment="1">
      <alignment horizontal="center"/>
    </xf>
    <xf numFmtId="171" fontId="12" fillId="2" borderId="0" xfId="2" applyFill="1" applyAlignment="1">
      <alignment horizontal="center"/>
    </xf>
    <xf numFmtId="40" fontId="12" fillId="2" borderId="0" xfId="5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wrapText="1"/>
    </xf>
    <xf numFmtId="183" fontId="12" fillId="2" borderId="0" xfId="2" applyNumberFormat="1" applyFill="1"/>
    <xf numFmtId="188" fontId="0" fillId="2" borderId="0" xfId="0" applyNumberFormat="1" applyFill="1" applyAlignment="1">
      <alignment wrapText="1"/>
    </xf>
    <xf numFmtId="189" fontId="0" fillId="2" borderId="0" xfId="0" applyNumberFormat="1" applyFill="1" applyAlignment="1">
      <alignment wrapText="1"/>
    </xf>
    <xf numFmtId="173" fontId="12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center" wrapText="1"/>
    </xf>
    <xf numFmtId="177" fontId="12" fillId="2" borderId="0" xfId="5" applyNumberFormat="1" applyFill="1" applyAlignment="1">
      <alignment horizontal="center"/>
    </xf>
    <xf numFmtId="37" fontId="1" fillId="2" borderId="31" xfId="1" applyFill="1" applyBorder="1" applyAlignment="1">
      <alignment horizontal="center"/>
    </xf>
    <xf numFmtId="10" fontId="1" fillId="2" borderId="31" xfId="3" applyNumberFormat="1" applyFill="1" applyBorder="1" applyAlignment="1">
      <alignment horizontal="center"/>
    </xf>
    <xf numFmtId="187" fontId="0" fillId="2" borderId="31" xfId="0" applyNumberFormat="1" applyFill="1" applyBorder="1" applyAlignment="1">
      <alignment horizontal="center"/>
    </xf>
    <xf numFmtId="171" fontId="12" fillId="2" borderId="31" xfId="2" applyFill="1" applyBorder="1" applyAlignment="1">
      <alignment horizontal="center"/>
    </xf>
    <xf numFmtId="190" fontId="12" fillId="2" borderId="31" xfId="2" applyNumberFormat="1" applyFill="1" applyBorder="1" applyAlignment="1">
      <alignment horizontal="center"/>
    </xf>
    <xf numFmtId="170" fontId="0" fillId="2" borderId="0" xfId="2" applyNumberFormat="1" applyFont="1" applyFill="1"/>
    <xf numFmtId="191" fontId="0" fillId="2" borderId="0" xfId="2" applyNumberFormat="1" applyFont="1" applyFill="1"/>
    <xf numFmtId="192" fontId="1" fillId="2" borderId="0" xfId="1" applyNumberFormat="1" applyFill="1" applyAlignment="1">
      <alignment horizontal="right"/>
    </xf>
    <xf numFmtId="0" fontId="12" fillId="2" borderId="0" xfId="0" applyFont="1" applyFill="1" applyAlignment="1">
      <alignment horizontal="left" wrapText="1"/>
    </xf>
    <xf numFmtId="3" fontId="12" fillId="2" borderId="0" xfId="0" applyNumberFormat="1" applyFont="1" applyFill="1" applyAlignment="1">
      <alignment vertical="top"/>
    </xf>
    <xf numFmtId="171" fontId="0" fillId="2" borderId="16" xfId="0" applyNumberFormat="1" applyFill="1" applyBorder="1"/>
    <xf numFmtId="0" fontId="0" fillId="2" borderId="16" xfId="0" applyFill="1" applyBorder="1" applyAlignment="1">
      <alignment horizontal="left" wrapText="1"/>
    </xf>
    <xf numFmtId="189" fontId="0" fillId="2" borderId="16" xfId="0" applyNumberFormat="1" applyFill="1" applyBorder="1" applyAlignment="1">
      <alignment wrapText="1"/>
    </xf>
    <xf numFmtId="173" fontId="12" fillId="2" borderId="16" xfId="0" applyNumberFormat="1" applyFont="1" applyFill="1" applyBorder="1" applyAlignment="1">
      <alignment horizontal="right"/>
    </xf>
    <xf numFmtId="183" fontId="12" fillId="2" borderId="16" xfId="2" applyNumberFormat="1" applyFill="1" applyBorder="1"/>
    <xf numFmtId="0" fontId="34" fillId="2" borderId="0" xfId="0" applyFont="1" applyFill="1" applyAlignment="1">
      <alignment vertical="top" wrapText="1"/>
    </xf>
    <xf numFmtId="193" fontId="0" fillId="2" borderId="0" xfId="0" applyNumberFormat="1" applyFill="1" applyAlignment="1">
      <alignment vertical="top"/>
    </xf>
    <xf numFmtId="164" fontId="4" fillId="2" borderId="0" xfId="0" applyNumberFormat="1" applyFont="1" applyFill="1" applyAlignment="1">
      <alignment horizontal="right" wrapText="1"/>
    </xf>
    <xf numFmtId="164" fontId="4" fillId="14" borderId="0" xfId="0" applyNumberFormat="1" applyFont="1" applyFill="1" applyAlignment="1">
      <alignment horizontal="right" wrapText="1"/>
    </xf>
    <xf numFmtId="173" fontId="0" fillId="2" borderId="18" xfId="3" applyFont="1" applyFill="1" applyBorder="1"/>
    <xf numFmtId="0" fontId="0" fillId="2" borderId="16" xfId="0" applyFill="1" applyBorder="1" applyAlignment="1">
      <alignment horizontal="left"/>
    </xf>
    <xf numFmtId="173" fontId="0" fillId="2" borderId="17" xfId="3" applyFont="1" applyFill="1" applyBorder="1"/>
    <xf numFmtId="173" fontId="0" fillId="2" borderId="16" xfId="3" applyFont="1" applyFill="1" applyBorder="1" applyAlignment="1">
      <alignment horizontal="center"/>
    </xf>
    <xf numFmtId="0" fontId="24" fillId="2" borderId="18" xfId="0" applyFont="1" applyFill="1" applyBorder="1" applyAlignment="1">
      <alignment horizontal="left" wrapText="1"/>
    </xf>
    <xf numFmtId="170" fontId="4" fillId="2" borderId="0" xfId="0" applyNumberFormat="1" applyFont="1" applyFill="1"/>
    <xf numFmtId="0" fontId="24" fillId="2" borderId="18" xfId="0" applyFont="1" applyFill="1" applyBorder="1"/>
    <xf numFmtId="189" fontId="8" fillId="2" borderId="18" xfId="0" applyNumberFormat="1" applyFont="1" applyFill="1" applyBorder="1" applyAlignment="1">
      <alignment horizontal="right" vertical="center" wrapText="1"/>
    </xf>
    <xf numFmtId="173" fontId="7" fillId="2" borderId="42" xfId="3" applyFont="1" applyFill="1" applyBorder="1"/>
    <xf numFmtId="183" fontId="8" fillId="2" borderId="18" xfId="2" applyNumberFormat="1" applyFont="1" applyFill="1" applyBorder="1"/>
    <xf numFmtId="0" fontId="18" fillId="2" borderId="18" xfId="0" applyFont="1" applyFill="1" applyBorder="1" applyAlignment="1">
      <alignment horizontal="center" vertical="top"/>
    </xf>
    <xf numFmtId="0" fontId="34" fillId="2" borderId="18" xfId="0" applyFont="1" applyFill="1" applyBorder="1" applyAlignment="1">
      <alignment vertical="top" wrapText="1"/>
    </xf>
    <xf numFmtId="4" fontId="0" fillId="2" borderId="18" xfId="0" applyNumberFormat="1" applyFill="1" applyBorder="1" applyAlignment="1">
      <alignment vertical="top"/>
    </xf>
    <xf numFmtId="0" fontId="8" fillId="2" borderId="19" xfId="0" applyFont="1" applyFill="1" applyBorder="1" applyAlignment="1">
      <alignment vertical="center"/>
    </xf>
    <xf numFmtId="173" fontId="24" fillId="2" borderId="18" xfId="3" applyFont="1" applyFill="1" applyBorder="1" applyAlignment="1">
      <alignment horizontal="center"/>
    </xf>
    <xf numFmtId="171" fontId="12" fillId="2" borderId="16" xfId="2" applyFill="1" applyBorder="1" applyAlignment="1">
      <alignment horizontal="center"/>
    </xf>
    <xf numFmtId="40" fontId="12" fillId="2" borderId="16" xfId="5" applyFill="1" applyBorder="1" applyAlignment="1">
      <alignment horizontal="center"/>
    </xf>
    <xf numFmtId="171" fontId="8" fillId="2" borderId="18" xfId="2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left" wrapText="1"/>
    </xf>
    <xf numFmtId="171" fontId="12" fillId="2" borderId="38" xfId="2" applyFill="1" applyBorder="1"/>
    <xf numFmtId="173" fontId="0" fillId="2" borderId="38" xfId="3" applyFont="1" applyFill="1" applyBorder="1" applyAlignment="1">
      <alignment horizontal="center"/>
    </xf>
    <xf numFmtId="177" fontId="12" fillId="2" borderId="38" xfId="5" applyNumberFormat="1" applyFill="1" applyBorder="1" applyAlignment="1">
      <alignment horizontal="center"/>
    </xf>
    <xf numFmtId="0" fontId="11" fillId="14" borderId="0" xfId="0" applyFont="1" applyFill="1"/>
    <xf numFmtId="0" fontId="30" fillId="2" borderId="16" xfId="0" applyFont="1" applyFill="1" applyBorder="1" applyAlignment="1">
      <alignment horizontal="center" vertical="center"/>
    </xf>
    <xf numFmtId="166" fontId="12" fillId="2" borderId="16" xfId="0" applyNumberFormat="1" applyFont="1" applyFill="1" applyBorder="1"/>
    <xf numFmtId="0" fontId="18" fillId="2" borderId="16" xfId="0" applyFont="1" applyFill="1" applyBorder="1" applyAlignment="1">
      <alignment horizontal="center" vertical="top"/>
    </xf>
    <xf numFmtId="0" fontId="30" fillId="2" borderId="16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166" fontId="0" fillId="2" borderId="18" xfId="0" applyNumberFormat="1" applyFill="1" applyBorder="1"/>
    <xf numFmtId="2" fontId="0" fillId="2" borderId="18" xfId="0" applyNumberFormat="1" applyFill="1" applyBorder="1"/>
    <xf numFmtId="0" fontId="30" fillId="2" borderId="16" xfId="0" applyFont="1" applyFill="1" applyBorder="1" applyAlignment="1">
      <alignment horizontal="center" vertical="top" wrapText="1"/>
    </xf>
    <xf numFmtId="166" fontId="0" fillId="2" borderId="16" xfId="0" applyNumberFormat="1" applyFill="1" applyBorder="1" applyAlignment="1">
      <alignment vertical="top"/>
    </xf>
    <xf numFmtId="172" fontId="0" fillId="2" borderId="16" xfId="0" applyNumberFormat="1" applyFill="1" applyBorder="1" applyAlignment="1">
      <alignment vertical="top"/>
    </xf>
    <xf numFmtId="183" fontId="0" fillId="2" borderId="16" xfId="0" applyNumberFormat="1" applyFill="1" applyBorder="1"/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top"/>
    </xf>
    <xf numFmtId="177" fontId="12" fillId="2" borderId="16" xfId="5" applyNumberFormat="1" applyFill="1" applyBorder="1"/>
    <xf numFmtId="0" fontId="30" fillId="2" borderId="16" xfId="0" applyFont="1" applyFill="1" applyBorder="1" applyAlignment="1">
      <alignment horizontal="center" wrapText="1"/>
    </xf>
    <xf numFmtId="177" fontId="12" fillId="2" borderId="16" xfId="5" applyNumberFormat="1" applyFill="1" applyBorder="1" applyAlignment="1">
      <alignment horizontal="center"/>
    </xf>
    <xf numFmtId="170" fontId="0" fillId="2" borderId="16" xfId="2" applyNumberFormat="1" applyFont="1" applyFill="1" applyBorder="1"/>
    <xf numFmtId="191" fontId="0" fillId="2" borderId="16" xfId="2" applyNumberFormat="1" applyFont="1" applyFill="1" applyBorder="1"/>
    <xf numFmtId="192" fontId="1" fillId="2" borderId="16" xfId="1" applyNumberFormat="1" applyFill="1" applyBorder="1" applyAlignment="1">
      <alignment horizontal="right"/>
    </xf>
    <xf numFmtId="177" fontId="8" fillId="2" borderId="16" xfId="5" applyNumberFormat="1" applyFont="1" applyFill="1" applyBorder="1"/>
    <xf numFmtId="0" fontId="0" fillId="14" borderId="0" xfId="0" applyFill="1" applyAlignment="1">
      <alignment vertical="top"/>
    </xf>
    <xf numFmtId="166" fontId="8" fillId="2" borderId="18" xfId="0" applyNumberFormat="1" applyFont="1" applyFill="1" applyBorder="1" applyAlignment="1">
      <alignment vertical="center"/>
    </xf>
    <xf numFmtId="0" fontId="4" fillId="2" borderId="18" xfId="0" applyFont="1" applyFill="1" applyBorder="1"/>
    <xf numFmtId="0" fontId="10" fillId="2" borderId="18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center" vertical="top"/>
    </xf>
    <xf numFmtId="0" fontId="34" fillId="2" borderId="18" xfId="0" applyFont="1" applyFill="1" applyBorder="1" applyAlignment="1">
      <alignment horizontal="left" vertical="top" wrapText="1"/>
    </xf>
    <xf numFmtId="168" fontId="8" fillId="2" borderId="18" xfId="0" applyNumberFormat="1" applyFont="1" applyFill="1" applyBorder="1" applyAlignment="1">
      <alignment vertical="center"/>
    </xf>
    <xf numFmtId="183" fontId="8" fillId="2" borderId="18" xfId="0" applyNumberFormat="1" applyFont="1" applyFill="1" applyBorder="1"/>
    <xf numFmtId="171" fontId="6" fillId="2" borderId="23" xfId="2" applyFont="1" applyFill="1" applyBorder="1"/>
    <xf numFmtId="173" fontId="7" fillId="2" borderId="23" xfId="3" applyFont="1" applyFill="1" applyBorder="1"/>
    <xf numFmtId="40" fontId="6" fillId="2" borderId="23" xfId="5" applyFont="1" applyFill="1" applyBorder="1"/>
    <xf numFmtId="0" fontId="45" fillId="2" borderId="18" xfId="0" applyFont="1" applyFill="1" applyBorder="1" applyAlignment="1">
      <alignment horizontal="center"/>
    </xf>
    <xf numFmtId="0" fontId="34" fillId="2" borderId="18" xfId="0" applyFont="1" applyFill="1" applyBorder="1" applyAlignment="1">
      <alignment horizontal="left" wrapText="1"/>
    </xf>
    <xf numFmtId="173" fontId="34" fillId="2" borderId="18" xfId="0" applyNumberFormat="1" applyFont="1" applyFill="1" applyBorder="1" applyAlignment="1">
      <alignment horizontal="right" wrapText="1"/>
    </xf>
    <xf numFmtId="171" fontId="24" fillId="2" borderId="42" xfId="0" applyNumberFormat="1" applyFont="1" applyFill="1" applyBorder="1"/>
    <xf numFmtId="40" fontId="8" fillId="2" borderId="18" xfId="5" applyFont="1" applyFill="1" applyBorder="1"/>
    <xf numFmtId="0" fontId="4" fillId="2" borderId="0" xfId="0" applyFont="1" applyFill="1" applyAlignment="1">
      <alignment vertical="top"/>
    </xf>
    <xf numFmtId="0" fontId="11" fillId="2" borderId="18" xfId="0" applyFont="1" applyFill="1" applyBorder="1"/>
    <xf numFmtId="0" fontId="20" fillId="2" borderId="18" xfId="0" applyFont="1" applyFill="1" applyBorder="1" applyAlignment="1">
      <alignment horizontal="center" vertical="center"/>
    </xf>
    <xf numFmtId="177" fontId="8" fillId="2" borderId="18" xfId="5" applyNumberFormat="1" applyFont="1" applyFill="1" applyBorder="1"/>
    <xf numFmtId="0" fontId="34" fillId="2" borderId="18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/>
    </xf>
    <xf numFmtId="166" fontId="8" fillId="2" borderId="18" xfId="0" applyNumberFormat="1" applyFont="1" applyFill="1" applyBorder="1" applyAlignment="1">
      <alignment horizontal="right" vertical="center" wrapText="1"/>
    </xf>
    <xf numFmtId="188" fontId="11" fillId="2" borderId="0" xfId="0" applyNumberFormat="1" applyFont="1" applyFill="1" applyAlignment="1">
      <alignment horizontal="right" vertical="center" wrapText="1"/>
    </xf>
    <xf numFmtId="0" fontId="34" fillId="2" borderId="18" xfId="0" applyFont="1" applyFill="1" applyBorder="1" applyAlignment="1">
      <alignment horizontal="center" wrapText="1"/>
    </xf>
    <xf numFmtId="166" fontId="8" fillId="2" borderId="18" xfId="0" applyNumberFormat="1" applyFont="1" applyFill="1" applyBorder="1"/>
    <xf numFmtId="177" fontId="8" fillId="2" borderId="31" xfId="5" applyNumberFormat="1" applyFont="1" applyFill="1" applyBorder="1" applyAlignment="1">
      <alignment horizontal="center"/>
    </xf>
    <xf numFmtId="177" fontId="8" fillId="2" borderId="18" xfId="5" applyNumberFormat="1" applyFont="1" applyFill="1" applyBorder="1" applyAlignment="1">
      <alignment horizontal="center"/>
    </xf>
    <xf numFmtId="40" fontId="8" fillId="2" borderId="18" xfId="5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 vertical="top"/>
    </xf>
    <xf numFmtId="170" fontId="8" fillId="2" borderId="18" xfId="2" applyNumberFormat="1" applyFont="1" applyFill="1" applyBorder="1"/>
    <xf numFmtId="192" fontId="8" fillId="2" borderId="18" xfId="5" applyNumberFormat="1" applyFont="1" applyFill="1" applyBorder="1" applyAlignment="1">
      <alignment horizontal="right"/>
    </xf>
    <xf numFmtId="177" fontId="11" fillId="2" borderId="18" xfId="5" applyNumberFormat="1" applyFont="1" applyFill="1" applyBorder="1"/>
    <xf numFmtId="0" fontId="10" fillId="2" borderId="0" xfId="0" applyFont="1" applyFill="1" applyAlignment="1">
      <alignment horizontal="center" vertical="top"/>
    </xf>
    <xf numFmtId="168" fontId="0" fillId="2" borderId="0" xfId="0" applyNumberFormat="1" applyFill="1" applyAlignment="1">
      <alignment vertical="top"/>
    </xf>
    <xf numFmtId="165" fontId="0" fillId="2" borderId="0" xfId="0" applyNumberFormat="1" applyFill="1" applyAlignment="1">
      <alignment vertical="top"/>
    </xf>
    <xf numFmtId="194" fontId="0" fillId="2" borderId="0" xfId="0" applyNumberFormat="1" applyFill="1"/>
    <xf numFmtId="0" fontId="0" fillId="16" borderId="0" xfId="0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0" fillId="16" borderId="0" xfId="0" applyFill="1" applyAlignment="1">
      <alignment horizontal="center" vertical="top"/>
    </xf>
    <xf numFmtId="0" fontId="0" fillId="16" borderId="0" xfId="0" applyFill="1"/>
    <xf numFmtId="0" fontId="0" fillId="16" borderId="0" xfId="0" applyFill="1" applyAlignment="1">
      <alignment wrapText="1"/>
    </xf>
    <xf numFmtId="0" fontId="30" fillId="16" borderId="0" xfId="0" applyFont="1" applyFill="1" applyAlignment="1">
      <alignment horizontal="center" wrapText="1"/>
    </xf>
    <xf numFmtId="0" fontId="0" fillId="16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46" fillId="2" borderId="0" xfId="0" applyFont="1" applyFill="1"/>
    <xf numFmtId="165" fontId="0" fillId="16" borderId="0" xfId="0" applyNumberFormat="1" applyFill="1" applyAlignment="1">
      <alignment horizontal="center" vertical="top"/>
    </xf>
    <xf numFmtId="194" fontId="0" fillId="14" borderId="0" xfId="0" applyNumberFormat="1" applyFill="1"/>
    <xf numFmtId="0" fontId="0" fillId="16" borderId="0" xfId="0" applyFill="1" applyAlignment="1">
      <alignment horizontal="center" vertical="center"/>
    </xf>
    <xf numFmtId="0" fontId="0" fillId="16" borderId="0" xfId="0" applyFill="1" applyAlignment="1">
      <alignment horizontal="left" vertical="top"/>
    </xf>
    <xf numFmtId="166" fontId="24" fillId="2" borderId="18" xfId="0" applyNumberFormat="1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right"/>
    </xf>
    <xf numFmtId="0" fontId="24" fillId="2" borderId="19" xfId="0" applyFont="1" applyFill="1" applyBorder="1" applyAlignment="1">
      <alignment horizontal="right"/>
    </xf>
    <xf numFmtId="0" fontId="24" fillId="2" borderId="18" xfId="0" applyFont="1" applyFill="1" applyBorder="1" applyAlignment="1">
      <alignment horizontal="right"/>
    </xf>
    <xf numFmtId="165" fontId="24" fillId="4" borderId="0" xfId="0" applyNumberFormat="1" applyFont="1" applyFill="1" applyAlignment="1">
      <alignment horizontal="center" vertical="center" wrapText="1"/>
    </xf>
    <xf numFmtId="0" fontId="14" fillId="8" borderId="1" xfId="0" applyFont="1" applyFill="1" applyBorder="1" applyAlignment="1">
      <alignment horizontal="left" indent="1"/>
    </xf>
    <xf numFmtId="0" fontId="14" fillId="8" borderId="0" xfId="0" applyFont="1" applyFill="1" applyAlignment="1">
      <alignment horizontal="left" indent="1"/>
    </xf>
    <xf numFmtId="0" fontId="0" fillId="2" borderId="0" xfId="0" applyFill="1"/>
    <xf numFmtId="0" fontId="0" fillId="4" borderId="18" xfId="0" applyFill="1" applyBorder="1"/>
    <xf numFmtId="37" fontId="24" fillId="4" borderId="13" xfId="1" applyFont="1" applyFill="1" applyBorder="1"/>
    <xf numFmtId="37" fontId="24" fillId="4" borderId="12" xfId="1" applyFont="1" applyFill="1" applyBorder="1"/>
    <xf numFmtId="37" fontId="24" fillId="4" borderId="11" xfId="1" applyFont="1" applyFill="1" applyBorder="1"/>
    <xf numFmtId="0" fontId="14" fillId="6" borderId="6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166" fontId="14" fillId="5" borderId="0" xfId="0" applyNumberFormat="1" applyFont="1" applyFill="1" applyAlignment="1">
      <alignment horizontal="center" vertical="center" wrapText="1"/>
    </xf>
    <xf numFmtId="166" fontId="14" fillId="5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166" fontId="14" fillId="6" borderId="6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167" fontId="14" fillId="6" borderId="6" xfId="0" applyNumberFormat="1" applyFont="1" applyFill="1" applyBorder="1" applyAlignment="1">
      <alignment horizontal="center" vertical="center"/>
    </xf>
    <xf numFmtId="167" fontId="14" fillId="6" borderId="0" xfId="0" applyNumberFormat="1" applyFont="1" applyFill="1" applyAlignment="1">
      <alignment horizontal="center" vertical="center"/>
    </xf>
    <xf numFmtId="167" fontId="14" fillId="6" borderId="5" xfId="0" applyNumberFormat="1" applyFont="1" applyFill="1" applyBorder="1" applyAlignment="1">
      <alignment horizontal="center" vertical="center"/>
    </xf>
    <xf numFmtId="166" fontId="14" fillId="6" borderId="0" xfId="0" applyNumberFormat="1" applyFont="1" applyFill="1" applyAlignment="1">
      <alignment horizontal="center" vertical="center" wrapText="1"/>
    </xf>
    <xf numFmtId="166" fontId="14" fillId="6" borderId="5" xfId="0" applyNumberFormat="1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/>
    </xf>
    <xf numFmtId="166" fontId="14" fillId="6" borderId="0" xfId="0" applyNumberFormat="1" applyFont="1" applyFill="1" applyAlignment="1">
      <alignment horizontal="center" vertical="center"/>
    </xf>
    <xf numFmtId="166" fontId="14" fillId="6" borderId="5" xfId="0" applyNumberFormat="1" applyFont="1" applyFill="1" applyBorder="1" applyAlignment="1">
      <alignment horizontal="center" vertical="center"/>
    </xf>
    <xf numFmtId="166" fontId="14" fillId="6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66" fontId="14" fillId="6" borderId="3" xfId="4" applyFont="1" applyFill="1" applyBorder="1">
      <alignment horizontal="center" vertical="center" wrapText="1"/>
    </xf>
    <xf numFmtId="166" fontId="14" fillId="6" borderId="4" xfId="4" applyFont="1" applyFill="1" applyBorder="1">
      <alignment horizontal="center" vertical="center" wrapText="1"/>
    </xf>
    <xf numFmtId="166" fontId="14" fillId="6" borderId="1" xfId="4" applyFont="1" applyFill="1" applyBorder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6">
    <cellStyle name="Comma" xfId="1" builtinId="3"/>
    <cellStyle name="Comma with Decimals" xfId="5" xr:uid="{B2039F18-0898-4872-8888-F9E17684CBD2}"/>
    <cellStyle name="Currency" xfId="2" builtinId="4"/>
    <cellStyle name="Heading Colour 1" xfId="4" xr:uid="{1DAC7360-EC57-4680-B3A1-54BCA8E1BBDA}"/>
    <cellStyle name="Normal" xfId="0" builtinId="0"/>
    <cellStyle name="Percent" xfId="3" builtinId="5"/>
  </cellStyles>
  <dxfs count="3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eme1">
  <a:themeElements>
    <a:clrScheme name="Custom 1">
      <a:dk1>
        <a:sysClr val="windowText" lastClr="000000"/>
      </a:dk1>
      <a:lt1>
        <a:srgbClr val="FFFFFF"/>
      </a:lt1>
      <a:dk2>
        <a:srgbClr val="107F8A"/>
      </a:dk2>
      <a:lt2>
        <a:srgbClr val="E8E8E8"/>
      </a:lt2>
      <a:accent1>
        <a:srgbClr val="000000"/>
      </a:accent1>
      <a:accent2>
        <a:srgbClr val="EF5A27"/>
      </a:accent2>
      <a:accent3>
        <a:srgbClr val="0C3343"/>
      </a:accent3>
      <a:accent4>
        <a:srgbClr val="0F3C4F"/>
      </a:accent4>
      <a:accent5>
        <a:srgbClr val="F2F2F2"/>
      </a:accent5>
      <a:accent6>
        <a:srgbClr val="035642"/>
      </a:accent6>
      <a:hlink>
        <a:srgbClr val="0070C0"/>
      </a:hlink>
      <a:folHlink>
        <a:srgbClr val="800080"/>
      </a:folHlink>
    </a:clrScheme>
    <a:fontScheme name="Custom 1">
      <a:majorFont>
        <a:latin typeface="Segoe UI Semilight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3625-6B01-4E7D-8FF8-47A9090832CF}">
  <sheetPr>
    <tabColor theme="6"/>
    <pageSetUpPr fitToPage="1"/>
  </sheetPr>
  <dimension ref="A1:PA54"/>
  <sheetViews>
    <sheetView tabSelected="1" zoomScale="70" zoomScaleNormal="70" workbookViewId="0">
      <selection sqref="A1:R1"/>
    </sheetView>
  </sheetViews>
  <sheetFormatPr defaultColWidth="9" defaultRowHeight="16.5" x14ac:dyDescent="0.3"/>
  <cols>
    <col min="1" max="1" width="1.125" style="12" customWidth="1"/>
    <col min="2" max="2" width="3.625" style="12" customWidth="1"/>
    <col min="3" max="4" width="2.125" style="12" customWidth="1"/>
    <col min="5" max="5" width="31.25" style="12" customWidth="1"/>
    <col min="6" max="6" width="16.625" style="12" customWidth="1"/>
    <col min="7" max="7" width="10.625" style="12" customWidth="1"/>
    <col min="8" max="8" width="15.625" style="12" customWidth="1"/>
    <col min="9" max="9" width="11" style="12" customWidth="1"/>
    <col min="10" max="11" width="15.125" style="12" customWidth="1"/>
    <col min="12" max="12" width="11.375" style="12" customWidth="1"/>
    <col min="13" max="13" width="14.625" style="12" customWidth="1"/>
    <col min="14" max="14" width="15.625" style="12" customWidth="1"/>
    <col min="15" max="15" width="10.5" style="12" customWidth="1"/>
    <col min="16" max="16" width="20.625" style="12" customWidth="1"/>
    <col min="17" max="17" width="16.375" style="12" customWidth="1"/>
    <col min="18" max="18" width="16.25" style="12" customWidth="1"/>
    <col min="19" max="19" width="6.125" style="12" customWidth="1"/>
    <col min="20" max="20" width="6.125" style="13" customWidth="1"/>
    <col min="21" max="21" width="6.125" style="12" customWidth="1"/>
    <col min="22" max="22" width="4" style="12" customWidth="1"/>
    <col min="23" max="23" width="54.125" style="12" customWidth="1"/>
    <col min="24" max="27" width="13" style="12" customWidth="1"/>
    <col min="28" max="28" width="2.625" style="12" customWidth="1"/>
    <col min="29" max="29" width="5.125" style="12" customWidth="1"/>
    <col min="30" max="30" width="5.5" style="13" customWidth="1"/>
    <col min="31" max="31" width="5.5" style="12" customWidth="1"/>
    <col min="32" max="32" width="4" style="12" customWidth="1"/>
    <col min="33" max="33" width="23.625" style="12" customWidth="1"/>
    <col min="34" max="34" width="12.75" style="12" bestFit="1" customWidth="1"/>
    <col min="35" max="35" width="15.375" style="12" bestFit="1" customWidth="1"/>
    <col min="36" max="36" width="16.125" style="12" bestFit="1" customWidth="1"/>
    <col min="37" max="37" width="6.125" style="12" customWidth="1"/>
    <col min="38" max="38" width="3.5" style="13" customWidth="1"/>
    <col min="39" max="39" width="2.125" style="12" customWidth="1"/>
    <col min="40" max="40" width="3.625" style="12" customWidth="1"/>
    <col min="41" max="42" width="2.125" style="12" customWidth="1"/>
    <col min="43" max="43" width="21.75" style="12" customWidth="1"/>
    <col min="44" max="44" width="2.25" style="12" customWidth="1"/>
    <col min="45" max="45" width="14.5" style="12" hidden="1" customWidth="1"/>
    <col min="46" max="46" width="15" style="12" hidden="1" customWidth="1"/>
    <col min="47" max="47" width="2.125" style="12" hidden="1" customWidth="1"/>
    <col min="48" max="48" width="13.5" style="12" hidden="1" customWidth="1"/>
    <col min="49" max="49" width="14.625" style="12" hidden="1" customWidth="1"/>
    <col min="50" max="50" width="10.625" style="12" hidden="1" customWidth="1"/>
    <col min="51" max="51" width="1.625" style="12" hidden="1" customWidth="1"/>
    <col min="52" max="52" width="13.5" style="12" hidden="1" customWidth="1"/>
    <col min="53" max="53" width="14.625" style="12" hidden="1" customWidth="1"/>
    <col min="54" max="54" width="10.625" style="12" hidden="1" customWidth="1"/>
    <col min="55" max="55" width="2.125" style="12" hidden="1" customWidth="1"/>
    <col min="56" max="56" width="13.5" style="12" hidden="1" customWidth="1"/>
    <col min="57" max="57" width="14.625" style="12" hidden="1" customWidth="1"/>
    <col min="58" max="58" width="10.625" style="12" hidden="1" customWidth="1"/>
    <col min="59" max="59" width="2.125" style="12" hidden="1" customWidth="1"/>
    <col min="60" max="60" width="13.5" style="12" hidden="1" customWidth="1"/>
    <col min="61" max="61" width="14.625" style="12" hidden="1" customWidth="1"/>
    <col min="62" max="62" width="10.625" style="12" hidden="1" customWidth="1"/>
    <col min="63" max="63" width="1.625" style="12" hidden="1" customWidth="1"/>
    <col min="64" max="64" width="13.5" style="12" hidden="1" customWidth="1"/>
    <col min="65" max="65" width="14.625" style="12" hidden="1" customWidth="1"/>
    <col min="66" max="66" width="10.625" style="12" hidden="1" customWidth="1"/>
    <col min="67" max="67" width="1.625" style="12" hidden="1" customWidth="1"/>
    <col min="68" max="68" width="13.5" style="12" hidden="1" customWidth="1"/>
    <col min="69" max="69" width="14.625" style="12" hidden="1" customWidth="1"/>
    <col min="70" max="70" width="10.625" style="12" hidden="1" customWidth="1"/>
    <col min="71" max="71" width="1.625" style="12" hidden="1" customWidth="1"/>
    <col min="72" max="72" width="16.125" style="12" hidden="1" customWidth="1"/>
    <col min="73" max="81" width="14.5" style="12" hidden="1" customWidth="1"/>
    <col min="82" max="82" width="13.5" style="12" hidden="1" customWidth="1"/>
    <col min="83" max="83" width="14.5" style="12" hidden="1" customWidth="1"/>
    <col min="84" max="84" width="16.125" style="12" customWidth="1"/>
    <col min="85" max="85" width="13.25" style="12" customWidth="1"/>
    <col min="86" max="86" width="9.75" style="12" hidden="1" customWidth="1"/>
    <col min="87" max="87" width="14.875" style="12" bestFit="1" customWidth="1"/>
    <col min="88" max="88" width="12.5" style="12" customWidth="1"/>
    <col min="89" max="89" width="9.75" style="12" customWidth="1"/>
    <col min="90" max="90" width="12.5" style="12" customWidth="1"/>
    <col min="91" max="91" width="11.5" style="12" bestFit="1" customWidth="1"/>
    <col min="92" max="92" width="9" style="12" customWidth="1"/>
    <col min="93" max="93" width="2.625" style="13" customWidth="1"/>
    <col min="94" max="94" width="2.625" style="12" customWidth="1"/>
    <col min="95" max="95" width="4.125" style="12" customWidth="1"/>
    <col min="96" max="96" width="9.25" style="12" customWidth="1"/>
    <col min="97" max="97" width="13.125" style="12" customWidth="1"/>
    <col min="98" max="98" width="14.75" style="12" bestFit="1" customWidth="1"/>
    <col min="99" max="99" width="13.125" style="12" customWidth="1"/>
    <col min="100" max="100" width="15.125" style="12" bestFit="1" customWidth="1"/>
    <col min="101" max="101" width="13.125" style="12" customWidth="1"/>
    <col min="102" max="102" width="14.375" style="12" bestFit="1" customWidth="1"/>
    <col min="103" max="103" width="13.125" style="12" customWidth="1"/>
    <col min="104" max="104" width="14.75" style="12" bestFit="1" customWidth="1"/>
    <col min="105" max="105" width="2.625" style="12" customWidth="1"/>
    <col min="106" max="106" width="2.625" style="13" customWidth="1"/>
    <col min="107" max="107" width="2.625" style="12" customWidth="1"/>
    <col min="108" max="108" width="4.625" style="12" customWidth="1"/>
    <col min="109" max="109" width="11.75" style="12" customWidth="1"/>
    <col min="110" max="110" width="14" style="12" customWidth="1"/>
    <col min="111" max="111" width="14" style="16" customWidth="1"/>
    <col min="112" max="112" width="10.875" style="12" bestFit="1" customWidth="1"/>
    <col min="113" max="113" width="11.375" style="12" bestFit="1" customWidth="1"/>
    <col min="114" max="114" width="14.25" style="12" bestFit="1" customWidth="1"/>
    <col min="115" max="115" width="2.625" style="12" customWidth="1"/>
    <col min="116" max="116" width="2.625" style="13" customWidth="1"/>
    <col min="117" max="117" width="2.625" style="12" customWidth="1"/>
    <col min="118" max="118" width="4.625" style="12" customWidth="1"/>
    <col min="119" max="119" width="12.5" style="12" customWidth="1"/>
    <col min="120" max="120" width="11.25" style="12" bestFit="1" customWidth="1"/>
    <col min="121" max="121" width="14.5" style="12" bestFit="1" customWidth="1"/>
    <col min="122" max="122" width="11" style="12" bestFit="1" customWidth="1"/>
    <col min="123" max="123" width="14.75" style="16" bestFit="1" customWidth="1"/>
    <col min="124" max="124" width="10.875" style="12" bestFit="1" customWidth="1"/>
    <col min="125" max="125" width="14.5" style="12" bestFit="1" customWidth="1"/>
    <col min="126" max="126" width="13" style="12" bestFit="1" customWidth="1"/>
    <col min="127" max="127" width="14.375" style="12" bestFit="1" customWidth="1"/>
    <col min="128" max="128" width="2.625" style="12" customWidth="1"/>
    <col min="129" max="129" width="2.625" style="13" customWidth="1"/>
    <col min="130" max="130" width="2.125" style="12" customWidth="1"/>
    <col min="131" max="131" width="4.625" style="12" customWidth="1"/>
    <col min="132" max="132" width="30.5" style="17" customWidth="1"/>
    <col min="133" max="133" width="13.625" style="18" customWidth="1"/>
    <col min="134" max="134" width="14.5" style="18" customWidth="1"/>
    <col min="135" max="135" width="14.625" style="18" bestFit="1" customWidth="1"/>
    <col min="136" max="136" width="15" style="18" bestFit="1" customWidth="1"/>
    <col min="137" max="138" width="13.625" style="12" customWidth="1"/>
    <col min="139" max="140" width="15" style="12" bestFit="1" customWidth="1"/>
    <col min="141" max="141" width="2.625" style="12" customWidth="1"/>
    <col min="142" max="142" width="2.625" style="13" customWidth="1"/>
    <col min="143" max="143" width="2.625" style="12" customWidth="1"/>
    <col min="144" max="144" width="4.625" style="12" customWidth="1"/>
    <col min="145" max="145" width="15.125" style="12" customWidth="1"/>
    <col min="146" max="153" width="13.625" style="12" customWidth="1"/>
    <col min="154" max="154" width="2.625" style="12" customWidth="1"/>
    <col min="155" max="155" width="2.625" style="13" customWidth="1"/>
    <col min="156" max="156" width="2.625" style="12" customWidth="1"/>
    <col min="157" max="157" width="4" style="12" customWidth="1"/>
    <col min="158" max="158" width="14.5" style="12" customWidth="1"/>
    <col min="159" max="160" width="13.625" style="12" bestFit="1" customWidth="1"/>
    <col min="161" max="161" width="12.875" style="12" bestFit="1" customWidth="1"/>
    <col min="162" max="162" width="13.625" style="12" bestFit="1" customWidth="1"/>
    <col min="163" max="163" width="12.625" style="12" customWidth="1"/>
    <col min="164" max="165" width="13.625" style="12" bestFit="1" customWidth="1"/>
    <col min="166" max="166" width="13.875" style="12" bestFit="1" customWidth="1"/>
    <col min="167" max="167" width="14.625" style="12" customWidth="1"/>
    <col min="168" max="168" width="19.25" style="12" customWidth="1"/>
    <col min="169" max="169" width="14.625" style="12" customWidth="1"/>
    <col min="170" max="170" width="2.625" style="12" customWidth="1"/>
    <col min="171" max="171" width="2.625" style="13" customWidth="1"/>
    <col min="172" max="172" width="2.625" style="12" customWidth="1"/>
    <col min="173" max="173" width="4.625" style="12" customWidth="1"/>
    <col min="174" max="174" width="1.125" style="12" customWidth="1"/>
    <col min="175" max="175" width="33.5" style="12" customWidth="1"/>
    <col min="176" max="177" width="13.625" style="12" bestFit="1" customWidth="1"/>
    <col min="178" max="178" width="13.875" style="12" bestFit="1" customWidth="1"/>
    <col min="179" max="179" width="15" style="12" bestFit="1" customWidth="1"/>
    <col min="180" max="180" width="13.125" style="12" bestFit="1" customWidth="1"/>
    <col min="181" max="182" width="13.875" style="12" bestFit="1" customWidth="1"/>
    <col min="183" max="183" width="14.375" style="12" bestFit="1" customWidth="1"/>
    <col min="184" max="184" width="18.625" style="12" customWidth="1"/>
    <col min="185" max="185" width="2.625" style="12" customWidth="1"/>
    <col min="186" max="186" width="2.625" style="13" customWidth="1"/>
    <col min="187" max="187" width="2.625" style="12" customWidth="1"/>
    <col min="188" max="188" width="9.125" style="12" customWidth="1"/>
    <col min="189" max="189" width="24.125" style="12" customWidth="1"/>
    <col min="190" max="190" width="11.875" style="12" bestFit="1" customWidth="1"/>
    <col min="191" max="191" width="11.625" style="12" bestFit="1" customWidth="1"/>
    <col min="192" max="192" width="13.125" style="12" bestFit="1" customWidth="1"/>
    <col min="193" max="193" width="13.875" style="12" bestFit="1" customWidth="1"/>
    <col min="194" max="194" width="11.375" style="12" bestFit="1" customWidth="1"/>
    <col min="195" max="195" width="10.5" style="12" bestFit="1" customWidth="1"/>
    <col min="196" max="196" width="11.125" style="12" bestFit="1" customWidth="1"/>
    <col min="197" max="197" width="11.625" style="12" bestFit="1" customWidth="1"/>
    <col min="198" max="198" width="2.625" style="12" customWidth="1"/>
    <col min="199" max="199" width="2.625" style="13" customWidth="1"/>
    <col min="200" max="200" width="2.625" style="12" customWidth="1"/>
    <col min="201" max="201" width="4.625" style="12" customWidth="1"/>
    <col min="202" max="202" width="14.625" style="12" customWidth="1"/>
    <col min="203" max="205" width="15.125" style="12" customWidth="1"/>
    <col min="206" max="206" width="16.875" style="12" bestFit="1" customWidth="1"/>
    <col min="207" max="210" width="15.125" style="12" customWidth="1"/>
    <col min="211" max="211" width="2.625" style="12" customWidth="1"/>
    <col min="212" max="212" width="2.625" style="13" customWidth="1"/>
    <col min="213" max="213" width="2.625" style="12" customWidth="1"/>
    <col min="214" max="214" width="2.5" style="12" customWidth="1"/>
    <col min="215" max="215" width="5" style="12" customWidth="1"/>
    <col min="216" max="216" width="9.75" style="12" customWidth="1"/>
    <col min="217" max="218" width="9.25" style="12" bestFit="1" customWidth="1"/>
    <col min="219" max="219" width="19.875" style="12" customWidth="1"/>
    <col min="220" max="220" width="18.625" style="12" customWidth="1"/>
    <col min="221" max="221" width="8" style="12" bestFit="1" customWidth="1"/>
    <col min="222" max="222" width="9.375" style="12" bestFit="1" customWidth="1"/>
    <col min="223" max="225" width="10" style="12" bestFit="1" customWidth="1"/>
    <col min="226" max="226" width="3.625" style="12" customWidth="1"/>
    <col min="227" max="227" width="3.625" style="13" customWidth="1"/>
    <col min="228" max="228" width="3.625" style="12" customWidth="1"/>
    <col min="229" max="229" width="4.625" style="12" customWidth="1"/>
    <col min="230" max="230" width="10" style="12" customWidth="1"/>
    <col min="231" max="231" width="10.375" style="12" customWidth="1"/>
    <col min="232" max="232" width="16.875" style="12" customWidth="1"/>
    <col min="233" max="233" width="13.25" style="12" bestFit="1" customWidth="1"/>
    <col min="234" max="234" width="16.375" style="12" bestFit="1" customWidth="1"/>
    <col min="235" max="235" width="16.625" style="12" bestFit="1" customWidth="1"/>
    <col min="236" max="236" width="15.375" style="12" bestFit="1" customWidth="1"/>
    <col min="237" max="237" width="15.625" style="12" bestFit="1" customWidth="1"/>
    <col min="238" max="239" width="13.625" style="12" customWidth="1"/>
    <col min="240" max="240" width="16" style="12" bestFit="1" customWidth="1"/>
    <col min="241" max="241" width="15.25" style="12" bestFit="1" customWidth="1"/>
    <col min="242" max="242" width="3.625" style="12" customWidth="1"/>
    <col min="243" max="243" width="3.625" style="13" customWidth="1"/>
    <col min="244" max="244" width="3.625" style="12" customWidth="1"/>
    <col min="245" max="245" width="4.625" style="12" customWidth="1"/>
    <col min="246" max="246" width="7.625" style="12" customWidth="1"/>
    <col min="247" max="247" width="7.5" style="12" customWidth="1"/>
    <col min="248" max="248" width="8.25" style="12" bestFit="1" customWidth="1"/>
    <col min="249" max="249" width="12.125" style="12" bestFit="1" customWidth="1"/>
    <col min="250" max="250" width="13.5" style="12" customWidth="1"/>
    <col min="251" max="251" width="10.75" style="12" bestFit="1" customWidth="1"/>
    <col min="252" max="252" width="11.5" style="579" bestFit="1" customWidth="1"/>
    <col min="253" max="253" width="11.875" style="12" bestFit="1" customWidth="1"/>
    <col min="254" max="254" width="12" style="579" bestFit="1" customWidth="1"/>
    <col min="255" max="255" width="12.125" style="12" bestFit="1" customWidth="1"/>
    <col min="256" max="256" width="12.375" style="12" bestFit="1" customWidth="1"/>
    <col min="257" max="257" width="11.125" style="12" bestFit="1" customWidth="1"/>
    <col min="258" max="258" width="11.375" style="12" bestFit="1" customWidth="1"/>
    <col min="259" max="261" width="10.75" style="12" bestFit="1" customWidth="1"/>
    <col min="262" max="262" width="10.875" style="12" bestFit="1" customWidth="1"/>
    <col min="263" max="263" width="12" style="12" bestFit="1" customWidth="1"/>
    <col min="264" max="264" width="11.875" style="12" bestFit="1" customWidth="1"/>
    <col min="265" max="265" width="15.375" style="12" customWidth="1"/>
    <col min="266" max="266" width="13.375" style="12" customWidth="1"/>
    <col min="267" max="267" width="13.25" style="12" customWidth="1"/>
    <col min="268" max="268" width="3" style="12" customWidth="1"/>
    <col min="269" max="269" width="3" style="13" customWidth="1"/>
    <col min="270" max="270" width="2.125" style="12" customWidth="1"/>
    <col min="271" max="271" width="5.625" style="12" customWidth="1"/>
    <col min="272" max="272" width="8.625" style="12" customWidth="1"/>
    <col min="273" max="273" width="7.75" style="12" bestFit="1" customWidth="1"/>
    <col min="274" max="274" width="8.625" style="12" customWidth="1"/>
    <col min="275" max="276" width="14.625" style="12" customWidth="1"/>
    <col min="277" max="277" width="7.625" style="12" customWidth="1"/>
    <col min="278" max="278" width="9.375" style="12" bestFit="1" customWidth="1"/>
    <col min="279" max="279" width="12.375" style="12" customWidth="1"/>
    <col min="280" max="280" width="9.125" style="12" customWidth="1"/>
    <col min="281" max="281" width="3.625" style="12" customWidth="1"/>
    <col min="282" max="282" width="3.625" style="13" customWidth="1"/>
    <col min="283" max="283" width="3.625" style="12" customWidth="1"/>
    <col min="284" max="284" width="4.5" style="12" customWidth="1"/>
    <col min="285" max="285" width="9.25" style="12" customWidth="1"/>
    <col min="286" max="286" width="9" style="12" bestFit="1" customWidth="1"/>
    <col min="287" max="287" width="14.625" style="12" bestFit="1" customWidth="1"/>
    <col min="288" max="288" width="11.5" style="12" customWidth="1"/>
    <col min="289" max="289" width="11" style="12" bestFit="1" customWidth="1"/>
    <col min="290" max="290" width="15.625" style="12" bestFit="1" customWidth="1"/>
    <col min="291" max="291" width="16.375" style="12" bestFit="1" customWidth="1"/>
    <col min="292" max="293" width="15.625" style="12" bestFit="1" customWidth="1"/>
    <col min="294" max="294" width="13.375" style="12" bestFit="1" customWidth="1"/>
    <col min="295" max="295" width="13.75" style="12" bestFit="1" customWidth="1"/>
    <col min="296" max="296" width="15.25" style="12" bestFit="1" customWidth="1"/>
    <col min="297" max="297" width="15.875" style="12" bestFit="1" customWidth="1"/>
    <col min="298" max="298" width="3.625" style="12" customWidth="1"/>
    <col min="299" max="299" width="3.625" style="13" customWidth="1"/>
    <col min="300" max="300" width="3.625" style="12" customWidth="1"/>
    <col min="301" max="301" width="4.5" style="12" customWidth="1"/>
    <col min="302" max="302" width="9.875" style="12" customWidth="1"/>
    <col min="303" max="303" width="6.875" style="12" bestFit="1" customWidth="1"/>
    <col min="304" max="304" width="12.625" style="12" bestFit="1" customWidth="1"/>
    <col min="305" max="305" width="15.875" style="12" bestFit="1" customWidth="1"/>
    <col min="306" max="306" width="15.125" style="12" bestFit="1" customWidth="1"/>
    <col min="307" max="307" width="11.75" style="12" customWidth="1"/>
    <col min="308" max="308" width="13.75" style="579" bestFit="1" customWidth="1"/>
    <col min="309" max="309" width="15.875" style="12" bestFit="1" customWidth="1"/>
    <col min="310" max="310" width="14.75" style="579" bestFit="1" customWidth="1"/>
    <col min="311" max="311" width="15.875" style="579" bestFit="1" customWidth="1"/>
    <col min="312" max="312" width="15.125" style="12" bestFit="1" customWidth="1"/>
    <col min="313" max="313" width="15.875" style="12" bestFit="1" customWidth="1"/>
    <col min="314" max="314" width="13.375" style="12" bestFit="1" customWidth="1"/>
    <col min="315" max="315" width="15.875" style="12" bestFit="1" customWidth="1"/>
    <col min="316" max="316" width="13" style="12" bestFit="1" customWidth="1"/>
    <col min="317" max="317" width="15.875" style="12" bestFit="1" customWidth="1"/>
    <col min="318" max="318" width="13.375" style="12" bestFit="1" customWidth="1"/>
    <col min="319" max="319" width="15.875" style="12" bestFit="1" customWidth="1"/>
    <col min="320" max="320" width="14.75" style="12" bestFit="1" customWidth="1"/>
    <col min="321" max="321" width="14.625" style="12" bestFit="1" customWidth="1"/>
    <col min="322" max="322" width="15.875" style="12" customWidth="1"/>
    <col min="323" max="323" width="6.125" style="12" customWidth="1"/>
    <col min="324" max="324" width="2.125" style="13" customWidth="1"/>
    <col min="325" max="326" width="6" style="12" customWidth="1"/>
    <col min="327" max="327" width="8.625" style="12" customWidth="1"/>
    <col min="328" max="328" width="16.5" style="12" customWidth="1"/>
    <col min="329" max="329" width="16.125" style="12" customWidth="1"/>
    <col min="330" max="330" width="16.375" style="12" bestFit="1" customWidth="1"/>
    <col min="331" max="331" width="15.375" style="12" bestFit="1" customWidth="1"/>
    <col min="332" max="332" width="15" style="12" bestFit="1" customWidth="1"/>
    <col min="333" max="333" width="15.375" style="12" bestFit="1" customWidth="1"/>
    <col min="334" max="335" width="13.875" style="12" bestFit="1" customWidth="1"/>
    <col min="336" max="336" width="15.375" style="12" bestFit="1" customWidth="1"/>
    <col min="337" max="337" width="9" style="12"/>
    <col min="338" max="338" width="2.5" style="13" customWidth="1"/>
    <col min="339" max="339" width="2.5" style="12" customWidth="1"/>
    <col min="340" max="340" width="14.5" style="12" customWidth="1"/>
    <col min="341" max="341" width="29.625" style="12" bestFit="1" customWidth="1"/>
    <col min="342" max="342" width="14.5" style="12" customWidth="1"/>
    <col min="343" max="343" width="2.5" style="12" customWidth="1"/>
    <col min="344" max="344" width="2.5" style="13" customWidth="1"/>
    <col min="345" max="345" width="2.5" style="12" customWidth="1"/>
    <col min="346" max="346" width="3.625" style="18" customWidth="1"/>
    <col min="347" max="347" width="53.5" style="18" customWidth="1"/>
    <col min="348" max="348" width="16" style="12" bestFit="1" customWidth="1"/>
    <col min="349" max="349" width="17.375" style="12" bestFit="1" customWidth="1"/>
    <col min="350" max="350" width="15.125" style="12" hidden="1" customWidth="1"/>
    <col min="351" max="351" width="18.875" style="12" bestFit="1" customWidth="1"/>
    <col min="352" max="352" width="17.375" style="12" bestFit="1" customWidth="1"/>
    <col min="353" max="353" width="3.625" style="12" customWidth="1"/>
    <col min="354" max="354" width="2.5" style="13" customWidth="1"/>
    <col min="355" max="355" width="2.5" style="12" customWidth="1"/>
    <col min="356" max="356" width="4.125" style="12" bestFit="1" customWidth="1"/>
    <col min="357" max="357" width="51.625" style="579" bestFit="1" customWidth="1"/>
    <col min="358" max="359" width="24" style="12" bestFit="1" customWidth="1"/>
    <col min="360" max="360" width="14.375" style="12" bestFit="1" customWidth="1"/>
    <col min="361" max="361" width="10.5" style="12" bestFit="1" customWidth="1"/>
    <col min="362" max="362" width="3.625" style="12" customWidth="1"/>
    <col min="363" max="363" width="2.5" style="13" customWidth="1"/>
    <col min="364" max="364" width="2.5" style="12" customWidth="1"/>
    <col min="365" max="365" width="12.125" style="29" bestFit="1" customWidth="1"/>
    <col min="366" max="366" width="12.5" style="29" bestFit="1" customWidth="1"/>
    <col min="367" max="367" width="11.375" style="29" bestFit="1" customWidth="1"/>
    <col min="368" max="417" width="9" style="29"/>
    <col min="418" max="16384" width="9" style="12"/>
  </cols>
  <sheetData>
    <row r="1" spans="1:417" s="5" customFormat="1" x14ac:dyDescent="0.3">
      <c r="A1" s="902" t="s">
        <v>0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  <c r="M1" s="902"/>
      <c r="N1" s="902"/>
      <c r="O1" s="902"/>
      <c r="P1" s="902"/>
      <c r="Q1" s="902"/>
      <c r="R1" s="902"/>
      <c r="S1" s="2"/>
      <c r="T1" s="3"/>
      <c r="U1" s="2"/>
      <c r="V1" s="2"/>
      <c r="W1" s="902" t="s">
        <v>1</v>
      </c>
      <c r="X1" s="902"/>
      <c r="Y1" s="902"/>
      <c r="Z1" s="902"/>
      <c r="AA1" s="902"/>
      <c r="AB1" s="1"/>
      <c r="AC1" s="1"/>
      <c r="AD1" s="3"/>
      <c r="AE1" s="2"/>
      <c r="AF1" s="902" t="s">
        <v>2</v>
      </c>
      <c r="AG1" s="902"/>
      <c r="AH1" s="902"/>
      <c r="AI1" s="902"/>
      <c r="AJ1" s="902"/>
      <c r="AK1" s="2"/>
      <c r="AL1" s="3"/>
      <c r="AM1" s="902" t="s">
        <v>3</v>
      </c>
      <c r="AN1" s="902"/>
      <c r="AO1" s="902"/>
      <c r="AP1" s="902"/>
      <c r="AQ1" s="902"/>
      <c r="AR1" s="902"/>
      <c r="AS1" s="902"/>
      <c r="AT1" s="902"/>
      <c r="AU1" s="902"/>
      <c r="AV1" s="902"/>
      <c r="AW1" s="902"/>
      <c r="AX1" s="902"/>
      <c r="AY1" s="902"/>
      <c r="AZ1" s="902"/>
      <c r="BA1" s="902"/>
      <c r="BB1" s="902"/>
      <c r="BC1" s="902"/>
      <c r="BD1" s="902"/>
      <c r="BE1" s="902"/>
      <c r="BF1" s="902"/>
      <c r="BG1" s="902"/>
      <c r="BH1" s="902"/>
      <c r="BI1" s="902"/>
      <c r="BJ1" s="902"/>
      <c r="BK1" s="902"/>
      <c r="BL1" s="902"/>
      <c r="BM1" s="902"/>
      <c r="BN1" s="902"/>
      <c r="BO1" s="902"/>
      <c r="BP1" s="902"/>
      <c r="BQ1" s="902"/>
      <c r="BR1" s="902"/>
      <c r="BS1" s="902"/>
      <c r="BT1" s="902"/>
      <c r="BU1" s="902"/>
      <c r="BV1" s="902"/>
      <c r="BW1" s="902"/>
      <c r="BX1" s="902"/>
      <c r="BY1" s="902"/>
      <c r="BZ1" s="902"/>
      <c r="CA1" s="902"/>
      <c r="CB1" s="902"/>
      <c r="CC1" s="902"/>
      <c r="CD1" s="902"/>
      <c r="CE1" s="902"/>
      <c r="CF1" s="902"/>
      <c r="CG1" s="902"/>
      <c r="CH1" s="902"/>
      <c r="CI1" s="902"/>
      <c r="CJ1" s="902"/>
      <c r="CK1" s="902"/>
      <c r="CL1" s="902"/>
      <c r="CM1" s="902"/>
      <c r="CN1" s="2"/>
      <c r="CO1" s="3"/>
      <c r="CP1" s="902" t="s">
        <v>4</v>
      </c>
      <c r="CQ1" s="902"/>
      <c r="CR1" s="902"/>
      <c r="CS1" s="902"/>
      <c r="CT1" s="902"/>
      <c r="CU1" s="902"/>
      <c r="CV1" s="902"/>
      <c r="CW1" s="902"/>
      <c r="CX1" s="902"/>
      <c r="CY1" s="902"/>
      <c r="CZ1" s="902"/>
      <c r="DA1" s="902"/>
      <c r="DB1" s="4"/>
      <c r="DC1" s="902" t="s">
        <v>5</v>
      </c>
      <c r="DD1" s="902"/>
      <c r="DE1" s="902"/>
      <c r="DF1" s="902"/>
      <c r="DG1" s="902"/>
      <c r="DH1" s="902"/>
      <c r="DI1" s="902"/>
      <c r="DJ1" s="902"/>
      <c r="DK1" s="902"/>
      <c r="DL1" s="4"/>
      <c r="DM1" s="902" t="s">
        <v>6</v>
      </c>
      <c r="DN1" s="902"/>
      <c r="DO1" s="902"/>
      <c r="DP1" s="902"/>
      <c r="DQ1" s="902"/>
      <c r="DR1" s="902"/>
      <c r="DS1" s="902"/>
      <c r="DT1" s="902"/>
      <c r="DU1" s="902"/>
      <c r="DV1" s="902"/>
      <c r="DW1" s="902"/>
      <c r="DX1" s="902"/>
      <c r="DY1" s="3"/>
      <c r="DZ1" s="902" t="s">
        <v>7</v>
      </c>
      <c r="EA1" s="902"/>
      <c r="EB1" s="902"/>
      <c r="EC1" s="902"/>
      <c r="ED1" s="902"/>
      <c r="EE1" s="902"/>
      <c r="EF1" s="902"/>
      <c r="EG1" s="902"/>
      <c r="EH1" s="902"/>
      <c r="EI1" s="902"/>
      <c r="EJ1" s="902"/>
      <c r="EK1" s="902"/>
      <c r="EL1" s="4"/>
      <c r="EN1" s="902" t="s">
        <v>8</v>
      </c>
      <c r="EO1" s="902"/>
      <c r="EP1" s="902"/>
      <c r="EQ1" s="902"/>
      <c r="ER1" s="902"/>
      <c r="ES1" s="902"/>
      <c r="ET1" s="902"/>
      <c r="EU1" s="902"/>
      <c r="EV1" s="902"/>
      <c r="EW1" s="902"/>
      <c r="EX1" s="2"/>
      <c r="EY1" s="4"/>
      <c r="EZ1" s="2"/>
      <c r="FA1" s="902" t="s">
        <v>9</v>
      </c>
      <c r="FB1" s="902"/>
      <c r="FC1" s="902"/>
      <c r="FD1" s="902"/>
      <c r="FE1" s="902"/>
      <c r="FF1" s="902"/>
      <c r="FG1" s="902"/>
      <c r="FH1" s="902"/>
      <c r="FI1" s="902"/>
      <c r="FJ1" s="902"/>
      <c r="FK1" s="902"/>
      <c r="FL1" s="902"/>
      <c r="FM1" s="902"/>
      <c r="FN1" s="2"/>
      <c r="FO1" s="4"/>
      <c r="FP1" s="902" t="s">
        <v>10</v>
      </c>
      <c r="FQ1" s="902"/>
      <c r="FR1" s="902"/>
      <c r="FS1" s="902"/>
      <c r="FT1" s="902"/>
      <c r="FU1" s="902"/>
      <c r="FV1" s="902"/>
      <c r="FW1" s="902"/>
      <c r="FX1" s="902"/>
      <c r="FY1" s="902"/>
      <c r="FZ1" s="902"/>
      <c r="GA1" s="902"/>
      <c r="GB1" s="902"/>
      <c r="GC1" s="902"/>
      <c r="GD1" s="4"/>
      <c r="GE1" s="902" t="s">
        <v>11</v>
      </c>
      <c r="GF1" s="902"/>
      <c r="GG1" s="902"/>
      <c r="GH1" s="902"/>
      <c r="GI1" s="902"/>
      <c r="GJ1" s="902"/>
      <c r="GK1" s="902"/>
      <c r="GL1" s="902"/>
      <c r="GM1" s="902"/>
      <c r="GN1" s="902"/>
      <c r="GO1" s="902"/>
      <c r="GP1" s="902"/>
      <c r="GQ1" s="3"/>
      <c r="GR1" s="902" t="s">
        <v>12</v>
      </c>
      <c r="GS1" s="902"/>
      <c r="GT1" s="902"/>
      <c r="GU1" s="902"/>
      <c r="GV1" s="902"/>
      <c r="GW1" s="902"/>
      <c r="GX1" s="902"/>
      <c r="GY1" s="902"/>
      <c r="GZ1" s="902"/>
      <c r="HA1" s="902"/>
      <c r="HB1" s="902"/>
      <c r="HC1" s="902"/>
      <c r="HD1" s="4"/>
      <c r="HF1" s="903" t="s">
        <v>13</v>
      </c>
      <c r="HG1" s="903"/>
      <c r="HH1" s="903"/>
      <c r="HI1" s="903"/>
      <c r="HJ1" s="903"/>
      <c r="HK1" s="903"/>
      <c r="HL1" s="903"/>
      <c r="HM1" s="903"/>
      <c r="HN1" s="903"/>
      <c r="HO1" s="903"/>
      <c r="HP1" s="903"/>
      <c r="HQ1" s="903"/>
      <c r="HS1" s="3"/>
      <c r="HT1" s="2"/>
      <c r="HU1" s="896" t="s">
        <v>14</v>
      </c>
      <c r="HV1" s="896"/>
      <c r="HW1" s="896"/>
      <c r="HX1" s="896"/>
      <c r="HY1" s="896"/>
      <c r="HZ1" s="896"/>
      <c r="IA1" s="896"/>
      <c r="IB1" s="896"/>
      <c r="IC1" s="896"/>
      <c r="ID1" s="896"/>
      <c r="IE1" s="896"/>
      <c r="IF1" s="896"/>
      <c r="IG1" s="896"/>
      <c r="IH1" s="2"/>
      <c r="II1" s="3"/>
      <c r="IJ1" s="2"/>
      <c r="IK1" s="896" t="s">
        <v>15</v>
      </c>
      <c r="IL1" s="896"/>
      <c r="IM1" s="896"/>
      <c r="IN1" s="896"/>
      <c r="IO1" s="896"/>
      <c r="IP1" s="896"/>
      <c r="IQ1" s="896"/>
      <c r="IR1" s="896"/>
      <c r="IS1" s="896"/>
      <c r="IT1" s="896"/>
      <c r="IU1" s="896"/>
      <c r="IV1" s="896"/>
      <c r="IW1" s="896"/>
      <c r="IX1" s="896"/>
      <c r="IY1" s="896"/>
      <c r="IZ1" s="896"/>
      <c r="JA1" s="896"/>
      <c r="JB1" s="896"/>
      <c r="JC1" s="896"/>
      <c r="JD1" s="896"/>
      <c r="JE1" s="896"/>
      <c r="JF1" s="896"/>
      <c r="JG1" s="896"/>
      <c r="JH1" s="1"/>
      <c r="JI1" s="4"/>
      <c r="JJ1" s="2"/>
      <c r="JK1" s="896" t="s">
        <v>16</v>
      </c>
      <c r="JL1" s="896"/>
      <c r="JM1" s="896"/>
      <c r="JN1" s="896"/>
      <c r="JO1" s="896"/>
      <c r="JP1" s="896"/>
      <c r="JQ1" s="896"/>
      <c r="JR1" s="896"/>
      <c r="JS1" s="896"/>
      <c r="JT1" s="896"/>
      <c r="JV1" s="3"/>
      <c r="JX1" s="896" t="s">
        <v>17</v>
      </c>
      <c r="JY1" s="896"/>
      <c r="JZ1" s="896"/>
      <c r="KA1" s="896"/>
      <c r="KB1" s="896"/>
      <c r="KC1" s="896"/>
      <c r="KD1" s="896"/>
      <c r="KE1" s="896"/>
      <c r="KF1" s="896"/>
      <c r="KG1" s="896"/>
      <c r="KH1" s="896"/>
      <c r="KI1" s="896"/>
      <c r="KJ1" s="896"/>
      <c r="KK1" s="896"/>
      <c r="KL1" s="2"/>
      <c r="KM1" s="3"/>
      <c r="KN1" s="2"/>
      <c r="KO1" s="895" t="s">
        <v>18</v>
      </c>
      <c r="KP1" s="895"/>
      <c r="KQ1" s="895"/>
      <c r="KR1" s="895"/>
      <c r="KS1" s="895"/>
      <c r="KT1" s="895"/>
      <c r="KU1" s="895"/>
      <c r="KV1" s="895"/>
      <c r="KW1" s="895"/>
      <c r="KX1" s="895"/>
      <c r="KY1" s="895"/>
      <c r="KZ1" s="895"/>
      <c r="LA1" s="895"/>
      <c r="LB1" s="895"/>
      <c r="LC1" s="895"/>
      <c r="LD1" s="895"/>
      <c r="LE1" s="895"/>
      <c r="LF1" s="895"/>
      <c r="LG1" s="895"/>
      <c r="LH1" s="895"/>
      <c r="LI1" s="895"/>
      <c r="LJ1" s="895"/>
      <c r="LK1" s="1"/>
      <c r="LL1" s="4"/>
      <c r="LN1" s="896" t="s">
        <v>19</v>
      </c>
      <c r="LO1" s="896"/>
      <c r="LP1" s="896"/>
      <c r="LQ1" s="896"/>
      <c r="LR1" s="896"/>
      <c r="LS1" s="896"/>
      <c r="LT1" s="896"/>
      <c r="LU1" s="896"/>
      <c r="LV1" s="896"/>
      <c r="LW1" s="896"/>
      <c r="LX1" s="896"/>
      <c r="LY1" s="2"/>
      <c r="LZ1" s="3"/>
      <c r="MA1" s="2"/>
      <c r="MB1" s="896" t="s">
        <v>20</v>
      </c>
      <c r="MC1" s="896"/>
      <c r="MD1" s="896"/>
      <c r="ME1" s="2"/>
      <c r="MF1" s="3"/>
      <c r="MG1" s="2"/>
      <c r="MH1" s="897" t="s">
        <v>21</v>
      </c>
      <c r="MI1" s="897"/>
      <c r="MJ1" s="897"/>
      <c r="MK1" s="897"/>
      <c r="ML1" s="897"/>
      <c r="MM1" s="897"/>
      <c r="MN1" s="897"/>
      <c r="MO1" s="2"/>
      <c r="MP1" s="3"/>
      <c r="MQ1" s="2"/>
      <c r="MR1" s="898" t="s">
        <v>22</v>
      </c>
      <c r="MS1" s="898"/>
      <c r="MT1" s="898"/>
      <c r="MU1" s="898"/>
      <c r="MV1" s="898"/>
      <c r="MW1" s="898"/>
      <c r="MX1" s="2"/>
      <c r="MY1" s="3"/>
      <c r="MZ1" s="2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</row>
    <row r="2" spans="1:417" x14ac:dyDescent="0.3">
      <c r="A2" s="8"/>
      <c r="B2" s="9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1"/>
      <c r="AK2" s="11"/>
      <c r="AM2" s="14"/>
      <c r="AO2" s="14"/>
      <c r="AP2" s="14"/>
      <c r="AQ2" s="14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5"/>
      <c r="EX2" s="19"/>
      <c r="EY2" s="20"/>
      <c r="FN2" s="19"/>
      <c r="FO2" s="20"/>
      <c r="GC2" s="14"/>
      <c r="GP2" s="14"/>
      <c r="GQ2" s="21"/>
      <c r="HF2" s="903"/>
      <c r="HG2" s="903"/>
      <c r="HH2" s="903"/>
      <c r="HI2" s="903"/>
      <c r="HJ2" s="903"/>
      <c r="HK2" s="903"/>
      <c r="HL2" s="903"/>
      <c r="HM2" s="903"/>
      <c r="HN2" s="903"/>
      <c r="HO2" s="903"/>
      <c r="HP2" s="903"/>
      <c r="HQ2" s="903"/>
      <c r="HR2" s="14"/>
      <c r="HU2" s="896"/>
      <c r="HV2" s="896"/>
      <c r="HW2" s="896"/>
      <c r="HX2" s="896"/>
      <c r="HY2" s="896"/>
      <c r="HZ2" s="896"/>
      <c r="IA2" s="896"/>
      <c r="IB2" s="896"/>
      <c r="IC2" s="896"/>
      <c r="ID2" s="896"/>
      <c r="IE2" s="896"/>
      <c r="IF2" s="896"/>
      <c r="IG2" s="896"/>
      <c r="IK2" s="896"/>
      <c r="IL2" s="896"/>
      <c r="IM2" s="896"/>
      <c r="IN2" s="896"/>
      <c r="IO2" s="896"/>
      <c r="IP2" s="896"/>
      <c r="IQ2" s="896"/>
      <c r="IR2" s="896"/>
      <c r="IS2" s="896"/>
      <c r="IT2" s="896"/>
      <c r="IU2" s="896"/>
      <c r="IV2" s="896"/>
      <c r="IW2" s="896"/>
      <c r="IX2" s="896"/>
      <c r="IY2" s="896"/>
      <c r="IZ2" s="896"/>
      <c r="JA2" s="896"/>
      <c r="JB2" s="896"/>
      <c r="JC2" s="896"/>
      <c r="JD2" s="896"/>
      <c r="JE2" s="896"/>
      <c r="JF2" s="896"/>
      <c r="JG2" s="896"/>
      <c r="JJ2" s="22"/>
      <c r="JK2" s="904"/>
      <c r="JL2" s="904"/>
      <c r="JM2" s="904"/>
      <c r="JN2" s="904"/>
      <c r="JO2" s="904"/>
      <c r="JP2" s="904"/>
      <c r="JQ2" s="904"/>
      <c r="JR2" s="904"/>
      <c r="JS2" s="904"/>
      <c r="JT2" s="904"/>
      <c r="JV2" s="23"/>
      <c r="JX2" s="896"/>
      <c r="JY2" s="896"/>
      <c r="JZ2" s="896"/>
      <c r="KA2" s="896"/>
      <c r="KB2" s="896"/>
      <c r="KC2" s="896"/>
      <c r="KD2" s="896"/>
      <c r="KE2" s="896"/>
      <c r="KF2" s="896"/>
      <c r="KG2" s="896"/>
      <c r="KH2" s="896"/>
      <c r="KI2" s="896"/>
      <c r="KJ2" s="896"/>
      <c r="KK2" s="896"/>
      <c r="KL2" s="24"/>
      <c r="KM2" s="25"/>
      <c r="KN2" s="24"/>
      <c r="KO2" s="895"/>
      <c r="KP2" s="895"/>
      <c r="KQ2" s="895"/>
      <c r="KR2" s="895"/>
      <c r="KS2" s="895"/>
      <c r="KT2" s="895"/>
      <c r="KU2" s="895"/>
      <c r="KV2" s="895"/>
      <c r="KW2" s="895"/>
      <c r="KX2" s="895"/>
      <c r="KY2" s="895"/>
      <c r="KZ2" s="895"/>
      <c r="LA2" s="895"/>
      <c r="LB2" s="895"/>
      <c r="LC2" s="895"/>
      <c r="LD2" s="895"/>
      <c r="LE2" s="895"/>
      <c r="LF2" s="895"/>
      <c r="LG2" s="895"/>
      <c r="LH2" s="895"/>
      <c r="LI2" s="895"/>
      <c r="LJ2" s="895"/>
      <c r="LK2" s="26"/>
      <c r="LL2" s="27"/>
      <c r="LN2" s="896"/>
      <c r="LO2" s="896"/>
      <c r="LP2" s="896"/>
      <c r="LQ2" s="896"/>
      <c r="LR2" s="896"/>
      <c r="LS2" s="896"/>
      <c r="LT2" s="896"/>
      <c r="LU2" s="896"/>
      <c r="LV2" s="896"/>
      <c r="LW2" s="896"/>
      <c r="LX2" s="896"/>
      <c r="LZ2" s="28"/>
      <c r="MA2" s="15"/>
      <c r="MB2" s="896"/>
      <c r="MC2" s="896"/>
      <c r="MD2" s="896"/>
      <c r="ME2" s="2"/>
      <c r="MF2" s="3"/>
      <c r="MG2" s="2"/>
      <c r="MH2" s="897"/>
      <c r="MI2" s="897"/>
      <c r="MJ2" s="897"/>
      <c r="MK2" s="897"/>
      <c r="ML2" s="897"/>
      <c r="MM2" s="897"/>
      <c r="MN2" s="897"/>
      <c r="MP2" s="28"/>
      <c r="MQ2" s="15"/>
      <c r="MR2" s="898"/>
      <c r="MS2" s="898"/>
      <c r="MT2" s="898"/>
      <c r="MU2" s="898"/>
      <c r="MV2" s="898"/>
      <c r="MW2" s="898"/>
      <c r="MY2" s="28"/>
      <c r="MZ2" s="15"/>
    </row>
    <row r="3" spans="1:417" ht="27" customHeight="1" x14ac:dyDescent="0.3">
      <c r="A3" s="8"/>
      <c r="B3" s="30"/>
      <c r="C3" s="30"/>
      <c r="D3" s="30"/>
      <c r="E3" s="30"/>
      <c r="F3" s="899" t="s">
        <v>23</v>
      </c>
      <c r="G3" s="900"/>
      <c r="H3" s="899" t="s">
        <v>24</v>
      </c>
      <c r="I3" s="901"/>
      <c r="J3" s="900"/>
      <c r="K3" s="899" t="s">
        <v>25</v>
      </c>
      <c r="L3" s="901"/>
      <c r="M3" s="900"/>
      <c r="N3" s="899" t="s">
        <v>26</v>
      </c>
      <c r="O3" s="901"/>
      <c r="P3" s="900"/>
      <c r="Q3" s="899" t="s">
        <v>27</v>
      </c>
      <c r="R3" s="901"/>
      <c r="S3" s="31"/>
      <c r="T3" s="32"/>
      <c r="U3" s="33"/>
      <c r="V3" s="34"/>
      <c r="W3" s="34"/>
      <c r="X3" s="34"/>
      <c r="Y3" s="34"/>
      <c r="Z3" s="34"/>
      <c r="AA3" s="34"/>
      <c r="AF3" s="34"/>
      <c r="AG3" s="34"/>
      <c r="AH3" s="34"/>
      <c r="AI3" s="34"/>
      <c r="AJ3" s="34"/>
      <c r="AK3" s="35"/>
      <c r="AN3" s="36"/>
      <c r="AO3" s="37"/>
      <c r="AP3" s="38"/>
      <c r="AQ3" s="37"/>
      <c r="AR3" s="39"/>
      <c r="AS3" s="894" t="s">
        <v>28</v>
      </c>
      <c r="AT3" s="889"/>
      <c r="AU3" s="37"/>
      <c r="AV3" s="894" t="s">
        <v>29</v>
      </c>
      <c r="AW3" s="889"/>
      <c r="AX3" s="889"/>
      <c r="AY3" s="37"/>
      <c r="AZ3" s="894" t="s">
        <v>30</v>
      </c>
      <c r="BA3" s="889"/>
      <c r="BB3" s="889"/>
      <c r="BC3" s="37"/>
      <c r="BD3" s="894" t="s">
        <v>31</v>
      </c>
      <c r="BE3" s="889"/>
      <c r="BF3" s="889"/>
      <c r="BG3" s="37"/>
      <c r="BH3" s="894" t="s">
        <v>32</v>
      </c>
      <c r="BI3" s="889"/>
      <c r="BJ3" s="889"/>
      <c r="BK3" s="37"/>
      <c r="BL3" s="894" t="s">
        <v>33</v>
      </c>
      <c r="BM3" s="889"/>
      <c r="BN3" s="889"/>
      <c r="BO3" s="37"/>
      <c r="BP3" s="894" t="s">
        <v>34</v>
      </c>
      <c r="BQ3" s="889"/>
      <c r="BR3" s="889"/>
      <c r="BS3" s="37"/>
      <c r="BT3" s="894" t="s">
        <v>35</v>
      </c>
      <c r="BU3" s="889"/>
      <c r="BV3" s="889"/>
      <c r="BW3" s="889" t="s">
        <v>36</v>
      </c>
      <c r="BX3" s="889"/>
      <c r="BY3" s="889"/>
      <c r="BZ3" s="894" t="s">
        <v>37</v>
      </c>
      <c r="CA3" s="889"/>
      <c r="CB3" s="890"/>
      <c r="CC3" s="894" t="s">
        <v>38</v>
      </c>
      <c r="CD3" s="889"/>
      <c r="CE3" s="890"/>
      <c r="CF3" s="894" t="s">
        <v>39</v>
      </c>
      <c r="CG3" s="889"/>
      <c r="CH3" s="890"/>
      <c r="CI3" s="894" t="s">
        <v>23</v>
      </c>
      <c r="CJ3" s="889"/>
      <c r="CK3" s="890"/>
      <c r="CL3" s="875" t="s">
        <v>40</v>
      </c>
      <c r="CM3" s="876"/>
      <c r="CQ3" s="41"/>
      <c r="CR3" s="42"/>
      <c r="CS3" s="883" t="str">
        <f>F3</f>
        <v>2024 Fiscal Year As Accepted</v>
      </c>
      <c r="CT3" s="892"/>
      <c r="CU3" s="892"/>
      <c r="CV3" s="893"/>
      <c r="CW3" s="883" t="str">
        <f>H3</f>
        <v>2024 Fiscal Year As Adjusted</v>
      </c>
      <c r="CX3" s="892"/>
      <c r="CY3" s="892"/>
      <c r="CZ3" s="893"/>
      <c r="DA3" s="11"/>
      <c r="DD3" s="37"/>
      <c r="DE3" s="43"/>
      <c r="DF3" s="883" t="str">
        <f>CS3</f>
        <v>2024 Fiscal Year As Accepted</v>
      </c>
      <c r="DG3" s="893"/>
      <c r="DH3" s="883" t="str">
        <f>CW3</f>
        <v>2024 Fiscal Year As Adjusted</v>
      </c>
      <c r="DI3" s="892"/>
      <c r="DJ3" s="893"/>
      <c r="DN3" s="44"/>
      <c r="DO3" s="45"/>
      <c r="DP3" s="883" t="str">
        <f>DF3</f>
        <v>2024 Fiscal Year As Accepted</v>
      </c>
      <c r="DQ3" s="892"/>
      <c r="DR3" s="892"/>
      <c r="DS3" s="893"/>
      <c r="DT3" s="883" t="str">
        <f>DH3</f>
        <v>2024 Fiscal Year As Adjusted</v>
      </c>
      <c r="DU3" s="892"/>
      <c r="DV3" s="892"/>
      <c r="DW3" s="893"/>
      <c r="EA3" s="37"/>
      <c r="EB3" s="46"/>
      <c r="EC3" s="889" t="str">
        <f>DF3</f>
        <v>2024 Fiscal Year As Accepted</v>
      </c>
      <c r="ED3" s="889"/>
      <c r="EE3" s="889"/>
      <c r="EF3" s="889"/>
      <c r="EG3" s="894" t="str">
        <f>DH3</f>
        <v>2024 Fiscal Year As Adjusted</v>
      </c>
      <c r="EH3" s="889"/>
      <c r="EI3" s="889"/>
      <c r="EJ3" s="890"/>
      <c r="EL3" s="47"/>
      <c r="EN3" s="37"/>
      <c r="EO3" s="37"/>
      <c r="EP3" s="894" t="str">
        <f>EC3</f>
        <v>2024 Fiscal Year As Accepted</v>
      </c>
      <c r="EQ3" s="889"/>
      <c r="ER3" s="889"/>
      <c r="ES3" s="890"/>
      <c r="ET3" s="894" t="str">
        <f>EG3</f>
        <v>2024 Fiscal Year As Adjusted</v>
      </c>
      <c r="EU3" s="889"/>
      <c r="EV3" s="889"/>
      <c r="EW3" s="890"/>
      <c r="EX3" s="11"/>
      <c r="EY3" s="48"/>
      <c r="FA3" s="37"/>
      <c r="FB3" s="39"/>
      <c r="FC3" s="889" t="str">
        <f>EP3</f>
        <v>2024 Fiscal Year As Accepted</v>
      </c>
      <c r="FD3" s="889"/>
      <c r="FE3" s="889"/>
      <c r="FF3" s="890"/>
      <c r="FG3" s="889" t="str">
        <f>ET3</f>
        <v>2024 Fiscal Year As Adjusted</v>
      </c>
      <c r="FH3" s="889"/>
      <c r="FI3" s="889"/>
      <c r="FJ3" s="890"/>
      <c r="FK3" s="889" t="s">
        <v>41</v>
      </c>
      <c r="FL3" s="889"/>
      <c r="FM3" s="890"/>
      <c r="FN3" s="11"/>
      <c r="FO3" s="48"/>
      <c r="FQ3" s="37"/>
      <c r="FR3" s="37"/>
      <c r="FS3" s="37"/>
      <c r="FT3" s="891" t="str">
        <f>EP3</f>
        <v>2024 Fiscal Year As Accepted</v>
      </c>
      <c r="FU3" s="884"/>
      <c r="FV3" s="884"/>
      <c r="FW3" s="885"/>
      <c r="FX3" s="891" t="str">
        <f>ET3</f>
        <v>2024 Fiscal Year As Adjusted</v>
      </c>
      <c r="FY3" s="884"/>
      <c r="FZ3" s="884"/>
      <c r="GA3" s="884"/>
      <c r="GB3" s="885"/>
      <c r="GC3" s="14"/>
      <c r="GD3" s="21"/>
      <c r="GF3" s="36"/>
      <c r="GG3" s="37"/>
      <c r="GH3" s="891" t="str">
        <f>FT3</f>
        <v>2024 Fiscal Year As Accepted</v>
      </c>
      <c r="GI3" s="884"/>
      <c r="GJ3" s="884"/>
      <c r="GK3" s="885"/>
      <c r="GL3" s="883" t="str">
        <f>FX3</f>
        <v>2024 Fiscal Year As Adjusted</v>
      </c>
      <c r="GM3" s="884"/>
      <c r="GN3" s="884"/>
      <c r="GO3" s="885"/>
      <c r="GP3" s="11"/>
      <c r="GQ3" s="50"/>
      <c r="GS3" s="37"/>
      <c r="GT3" s="37"/>
      <c r="GU3" s="886" t="str">
        <f>GH3</f>
        <v>2024 Fiscal Year As Accepted</v>
      </c>
      <c r="GV3" s="887"/>
      <c r="GW3" s="887"/>
      <c r="GX3" s="888"/>
      <c r="GY3" s="886" t="str">
        <f>GL3</f>
        <v>2024 Fiscal Year As Adjusted</v>
      </c>
      <c r="GZ3" s="887"/>
      <c r="HA3" s="887"/>
      <c r="HB3" s="888"/>
      <c r="HF3" s="11"/>
      <c r="HG3" s="51"/>
      <c r="HH3" s="52"/>
      <c r="HI3" s="52"/>
      <c r="HJ3" s="52"/>
      <c r="HK3" s="52"/>
      <c r="HL3" s="52"/>
      <c r="HM3" s="53"/>
      <c r="HN3" s="52"/>
      <c r="HO3" s="52"/>
      <c r="HP3" s="52"/>
      <c r="HQ3" s="52"/>
      <c r="HR3" s="54"/>
      <c r="HT3" s="54"/>
      <c r="HU3" s="49"/>
      <c r="HV3" s="55"/>
      <c r="HW3" s="55"/>
      <c r="HX3" s="875" t="s">
        <v>42</v>
      </c>
      <c r="HY3" s="877"/>
      <c r="HZ3" s="875" t="s">
        <v>43</v>
      </c>
      <c r="IA3" s="877"/>
      <c r="IB3" s="875" t="s">
        <v>44</v>
      </c>
      <c r="IC3" s="877"/>
      <c r="ID3" s="875" t="s">
        <v>45</v>
      </c>
      <c r="IE3" s="877"/>
      <c r="IF3" s="875" t="s">
        <v>46</v>
      </c>
      <c r="IG3" s="876"/>
      <c r="IH3" s="24"/>
      <c r="II3" s="25"/>
      <c r="IJ3" s="24"/>
      <c r="IK3" s="37"/>
      <c r="IL3" s="56"/>
      <c r="IM3" s="56"/>
      <c r="IN3" s="56"/>
      <c r="IO3" s="880" t="s">
        <v>47</v>
      </c>
      <c r="IP3" s="881"/>
      <c r="IQ3" s="880" t="s">
        <v>48</v>
      </c>
      <c r="IR3" s="881"/>
      <c r="IS3" s="880" t="s">
        <v>49</v>
      </c>
      <c r="IT3" s="881"/>
      <c r="IU3" s="880" t="s">
        <v>50</v>
      </c>
      <c r="IV3" s="881"/>
      <c r="IW3" s="880" t="s">
        <v>51</v>
      </c>
      <c r="IX3" s="881"/>
      <c r="IY3" s="880" t="s">
        <v>52</v>
      </c>
      <c r="IZ3" s="881"/>
      <c r="JA3" s="880" t="s">
        <v>53</v>
      </c>
      <c r="JB3" s="881"/>
      <c r="JC3" s="880" t="s">
        <v>54</v>
      </c>
      <c r="JD3" s="881"/>
      <c r="JE3" s="880" t="s">
        <v>55</v>
      </c>
      <c r="JF3" s="882"/>
      <c r="JG3" s="882"/>
      <c r="JH3" s="54"/>
      <c r="JI3" s="57"/>
      <c r="JJ3" s="22"/>
      <c r="JK3" s="58"/>
      <c r="JL3" s="59"/>
      <c r="JM3" s="59"/>
      <c r="JN3" s="59"/>
      <c r="JO3" s="59"/>
      <c r="JP3" s="59"/>
      <c r="JQ3" s="59"/>
      <c r="JR3" s="59"/>
      <c r="JS3" s="59"/>
      <c r="JT3" s="59"/>
      <c r="JU3" s="24"/>
      <c r="JV3" s="25"/>
      <c r="JW3" s="60"/>
      <c r="JX3" s="61"/>
      <c r="JY3" s="55"/>
      <c r="JZ3" s="55"/>
      <c r="KA3" s="62"/>
      <c r="KB3" s="875" t="s">
        <v>42</v>
      </c>
      <c r="KC3" s="877"/>
      <c r="KD3" s="875" t="s">
        <v>43</v>
      </c>
      <c r="KE3" s="877"/>
      <c r="KF3" s="875" t="s">
        <v>56</v>
      </c>
      <c r="KG3" s="877"/>
      <c r="KH3" s="875" t="s">
        <v>57</v>
      </c>
      <c r="KI3" s="877"/>
      <c r="KJ3" s="875" t="s">
        <v>46</v>
      </c>
      <c r="KK3" s="876"/>
      <c r="KL3" s="60"/>
      <c r="KM3" s="63"/>
      <c r="KN3" s="60"/>
      <c r="KO3" s="64"/>
      <c r="KP3" s="55"/>
      <c r="KQ3" s="55"/>
      <c r="KR3" s="55"/>
      <c r="KS3" s="875" t="s">
        <v>47</v>
      </c>
      <c r="KT3" s="877"/>
      <c r="KU3" s="875" t="s">
        <v>58</v>
      </c>
      <c r="KV3" s="877"/>
      <c r="KW3" s="875" t="s">
        <v>49</v>
      </c>
      <c r="KX3" s="877"/>
      <c r="KY3" s="875" t="s">
        <v>50</v>
      </c>
      <c r="KZ3" s="877"/>
      <c r="LA3" s="875" t="s">
        <v>51</v>
      </c>
      <c r="LB3" s="877"/>
      <c r="LC3" s="875" t="s">
        <v>52</v>
      </c>
      <c r="LD3" s="877"/>
      <c r="LE3" s="875" t="s">
        <v>53</v>
      </c>
      <c r="LF3" s="877"/>
      <c r="LG3" s="875" t="s">
        <v>54</v>
      </c>
      <c r="LH3" s="877"/>
      <c r="LI3" s="875" t="s">
        <v>59</v>
      </c>
      <c r="LJ3" s="876"/>
      <c r="LK3" s="22"/>
      <c r="LL3" s="65"/>
      <c r="LN3" s="37"/>
      <c r="LO3" s="40"/>
      <c r="LP3" s="875" t="s">
        <v>46</v>
      </c>
      <c r="LQ3" s="876"/>
      <c r="LR3" s="877"/>
      <c r="LS3" s="875" t="s">
        <v>60</v>
      </c>
      <c r="LT3" s="876"/>
      <c r="LU3" s="877"/>
      <c r="LV3" s="875" t="s">
        <v>61</v>
      </c>
      <c r="LW3" s="876"/>
      <c r="LX3" s="877"/>
      <c r="LZ3" s="21"/>
      <c r="MA3" s="14"/>
      <c r="MB3" s="66"/>
      <c r="MC3" s="66"/>
      <c r="MD3" s="66"/>
      <c r="ME3" s="14"/>
      <c r="MF3" s="21"/>
      <c r="MG3" s="14"/>
      <c r="MH3" s="67"/>
      <c r="MI3" s="67"/>
      <c r="MJ3" s="34"/>
      <c r="MK3" s="34"/>
      <c r="ML3" s="34"/>
      <c r="MM3" s="34"/>
      <c r="MN3" s="34"/>
      <c r="MP3" s="21"/>
      <c r="MQ3" s="14"/>
      <c r="MR3" s="67"/>
      <c r="MS3" s="34"/>
      <c r="MT3" s="34"/>
      <c r="MU3" s="34"/>
      <c r="MV3" s="34"/>
      <c r="MW3" s="34"/>
      <c r="MY3" s="21"/>
      <c r="MZ3" s="14"/>
    </row>
    <row r="4" spans="1:417" s="76" customFormat="1" ht="45" customHeight="1" x14ac:dyDescent="0.3">
      <c r="A4" s="68"/>
      <c r="B4" s="69"/>
      <c r="C4" s="70"/>
      <c r="D4" s="70"/>
      <c r="E4" s="70"/>
      <c r="F4" s="71" t="s">
        <v>62</v>
      </c>
      <c r="G4" s="72" t="s">
        <v>63</v>
      </c>
      <c r="H4" s="71" t="s">
        <v>62</v>
      </c>
      <c r="I4" s="73" t="s">
        <v>63</v>
      </c>
      <c r="J4" s="72" t="s">
        <v>64</v>
      </c>
      <c r="K4" s="71" t="s">
        <v>62</v>
      </c>
      <c r="L4" s="73" t="s">
        <v>63</v>
      </c>
      <c r="M4" s="72" t="s">
        <v>65</v>
      </c>
      <c r="N4" s="71" t="s">
        <v>62</v>
      </c>
      <c r="O4" s="73" t="s">
        <v>63</v>
      </c>
      <c r="P4" s="72" t="s">
        <v>66</v>
      </c>
      <c r="Q4" s="74" t="s">
        <v>67</v>
      </c>
      <c r="R4" s="73" t="s">
        <v>68</v>
      </c>
      <c r="S4" s="54"/>
      <c r="T4" s="75"/>
      <c r="V4" s="77"/>
      <c r="W4" s="77"/>
      <c r="X4" s="78" t="s">
        <v>69</v>
      </c>
      <c r="Y4" s="78" t="s">
        <v>70</v>
      </c>
      <c r="Z4" s="78" t="s">
        <v>71</v>
      </c>
      <c r="AA4" s="78" t="s">
        <v>72</v>
      </c>
      <c r="AB4" s="79"/>
      <c r="AC4" s="68"/>
      <c r="AD4" s="80"/>
      <c r="AE4" s="68"/>
      <c r="AF4" s="70"/>
      <c r="AG4" s="70"/>
      <c r="AH4" s="88" t="str">
        <f>D14</f>
        <v>Direct Labour</v>
      </c>
      <c r="AI4" s="88" t="str">
        <f>D15</f>
        <v>Collector Labour</v>
      </c>
      <c r="AJ4" s="88" t="str">
        <f>D16</f>
        <v>Overhead Labour</v>
      </c>
      <c r="AL4" s="75"/>
      <c r="AM4" s="68"/>
      <c r="AN4" s="78"/>
      <c r="AO4" s="81"/>
      <c r="AP4" s="81"/>
      <c r="AQ4" s="81"/>
      <c r="AR4" s="81"/>
      <c r="AS4" s="82" t="s">
        <v>62</v>
      </c>
      <c r="AT4" s="83" t="s">
        <v>73</v>
      </c>
      <c r="AU4" s="78"/>
      <c r="AV4" s="82" t="s">
        <v>62</v>
      </c>
      <c r="AW4" s="83" t="s">
        <v>73</v>
      </c>
      <c r="AX4" s="83" t="s">
        <v>74</v>
      </c>
      <c r="AY4" s="78"/>
      <c r="AZ4" s="82" t="s">
        <v>62</v>
      </c>
      <c r="BA4" s="83" t="s">
        <v>73</v>
      </c>
      <c r="BB4" s="83" t="s">
        <v>74</v>
      </c>
      <c r="BC4" s="78"/>
      <c r="BD4" s="82" t="s">
        <v>62</v>
      </c>
      <c r="BE4" s="83" t="s">
        <v>73</v>
      </c>
      <c r="BF4" s="83" t="s">
        <v>74</v>
      </c>
      <c r="BG4" s="78"/>
      <c r="BH4" s="82" t="s">
        <v>62</v>
      </c>
      <c r="BI4" s="83" t="s">
        <v>73</v>
      </c>
      <c r="BJ4" s="83" t="s">
        <v>74</v>
      </c>
      <c r="BK4" s="78"/>
      <c r="BL4" s="82" t="s">
        <v>62</v>
      </c>
      <c r="BM4" s="83" t="s">
        <v>73</v>
      </c>
      <c r="BN4" s="83" t="s">
        <v>74</v>
      </c>
      <c r="BO4" s="78"/>
      <c r="BP4" s="82" t="s">
        <v>62</v>
      </c>
      <c r="BQ4" s="83" t="s">
        <v>73</v>
      </c>
      <c r="BR4" s="83" t="s">
        <v>74</v>
      </c>
      <c r="BS4" s="78"/>
      <c r="BT4" s="82" t="s">
        <v>62</v>
      </c>
      <c r="BU4" s="83" t="s">
        <v>73</v>
      </c>
      <c r="BV4" s="83" t="s">
        <v>75</v>
      </c>
      <c r="BW4" s="82" t="s">
        <v>62</v>
      </c>
      <c r="BX4" s="83" t="s">
        <v>73</v>
      </c>
      <c r="BY4" s="83" t="s">
        <v>75</v>
      </c>
      <c r="BZ4" s="82" t="s">
        <v>62</v>
      </c>
      <c r="CA4" s="83" t="s">
        <v>73</v>
      </c>
      <c r="CB4" s="83" t="s">
        <v>75</v>
      </c>
      <c r="CC4" s="82" t="s">
        <v>62</v>
      </c>
      <c r="CD4" s="83" t="s">
        <v>73</v>
      </c>
      <c r="CE4" s="83" t="s">
        <v>75</v>
      </c>
      <c r="CF4" s="82" t="s">
        <v>62</v>
      </c>
      <c r="CG4" s="83" t="s">
        <v>73</v>
      </c>
      <c r="CH4" s="83" t="s">
        <v>75</v>
      </c>
      <c r="CI4" s="82" t="s">
        <v>62</v>
      </c>
      <c r="CJ4" s="83" t="s">
        <v>73</v>
      </c>
      <c r="CK4" s="83" t="s">
        <v>75</v>
      </c>
      <c r="CL4" s="84" t="s">
        <v>76</v>
      </c>
      <c r="CM4" s="83" t="s">
        <v>77</v>
      </c>
      <c r="CN4" s="68"/>
      <c r="CO4" s="80"/>
      <c r="CP4" s="68"/>
      <c r="CQ4" s="85"/>
      <c r="CR4" s="86"/>
      <c r="CS4" s="87" t="s">
        <v>78</v>
      </c>
      <c r="CT4" s="88" t="s">
        <v>79</v>
      </c>
      <c r="CU4" s="69" t="s">
        <v>80</v>
      </c>
      <c r="CV4" s="89" t="s">
        <v>72</v>
      </c>
      <c r="CW4" s="87" t="s">
        <v>78</v>
      </c>
      <c r="CX4" s="88" t="s">
        <v>79</v>
      </c>
      <c r="CY4" s="69" t="s">
        <v>80</v>
      </c>
      <c r="CZ4" s="89" t="s">
        <v>72</v>
      </c>
      <c r="DA4" s="90"/>
      <c r="DB4" s="80"/>
      <c r="DC4" s="68"/>
      <c r="DD4" s="69"/>
      <c r="DE4" s="88" t="s">
        <v>81</v>
      </c>
      <c r="DF4" s="87" t="s">
        <v>82</v>
      </c>
      <c r="DG4" s="91" t="s">
        <v>83</v>
      </c>
      <c r="DH4" s="87" t="s">
        <v>82</v>
      </c>
      <c r="DI4" s="92" t="s">
        <v>83</v>
      </c>
      <c r="DJ4" s="93" t="s">
        <v>84</v>
      </c>
      <c r="DK4" s="68"/>
      <c r="DL4" s="80"/>
      <c r="DM4" s="68"/>
      <c r="DN4" s="69"/>
      <c r="DO4" s="94" t="s">
        <v>81</v>
      </c>
      <c r="DP4" s="87" t="s">
        <v>78</v>
      </c>
      <c r="DQ4" s="88" t="s">
        <v>79</v>
      </c>
      <c r="DR4" s="69" t="s">
        <v>80</v>
      </c>
      <c r="DS4" s="89" t="s">
        <v>72</v>
      </c>
      <c r="DT4" s="87" t="s">
        <v>78</v>
      </c>
      <c r="DU4" s="88" t="s">
        <v>79</v>
      </c>
      <c r="DV4" s="69" t="s">
        <v>80</v>
      </c>
      <c r="DW4" s="89" t="s">
        <v>72</v>
      </c>
      <c r="DX4" s="68"/>
      <c r="DY4" s="80"/>
      <c r="DZ4" s="68"/>
      <c r="EA4" s="69"/>
      <c r="EB4" s="95"/>
      <c r="EC4" s="69" t="s">
        <v>69</v>
      </c>
      <c r="ED4" s="69" t="s">
        <v>70</v>
      </c>
      <c r="EE4" s="69" t="s">
        <v>71</v>
      </c>
      <c r="EF4" s="96" t="s">
        <v>72</v>
      </c>
      <c r="EG4" s="87" t="s">
        <v>69</v>
      </c>
      <c r="EH4" s="69" t="s">
        <v>70</v>
      </c>
      <c r="EI4" s="69" t="s">
        <v>71</v>
      </c>
      <c r="EJ4" s="97" t="s">
        <v>72</v>
      </c>
      <c r="EK4" s="98"/>
      <c r="EL4" s="80"/>
      <c r="EM4" s="68"/>
      <c r="EN4" s="70"/>
      <c r="EO4" s="70"/>
      <c r="EP4" s="99" t="s">
        <v>69</v>
      </c>
      <c r="EQ4" s="100" t="s">
        <v>70</v>
      </c>
      <c r="ER4" s="100" t="s">
        <v>71</v>
      </c>
      <c r="ES4" s="101" t="s">
        <v>72</v>
      </c>
      <c r="ET4" s="99" t="s">
        <v>69</v>
      </c>
      <c r="EU4" s="100" t="s">
        <v>70</v>
      </c>
      <c r="EV4" s="100" t="s">
        <v>71</v>
      </c>
      <c r="EW4" s="101" t="s">
        <v>72</v>
      </c>
      <c r="EX4" s="102"/>
      <c r="EY4" s="103"/>
      <c r="EZ4" s="68"/>
      <c r="FA4" s="70"/>
      <c r="FB4" s="104"/>
      <c r="FC4" s="100" t="s">
        <v>69</v>
      </c>
      <c r="FD4" s="100" t="s">
        <v>70</v>
      </c>
      <c r="FE4" s="100" t="s">
        <v>71</v>
      </c>
      <c r="FF4" s="101" t="s">
        <v>72</v>
      </c>
      <c r="FG4" s="100" t="s">
        <v>69</v>
      </c>
      <c r="FH4" s="100" t="s">
        <v>70</v>
      </c>
      <c r="FI4" s="100" t="s">
        <v>71</v>
      </c>
      <c r="FJ4" s="101" t="s">
        <v>72</v>
      </c>
      <c r="FK4" s="105" t="s">
        <v>85</v>
      </c>
      <c r="FL4" s="105" t="s">
        <v>86</v>
      </c>
      <c r="FM4" s="106" t="s">
        <v>87</v>
      </c>
      <c r="FN4" s="102"/>
      <c r="FO4" s="103"/>
      <c r="FP4" s="68"/>
      <c r="FQ4" s="81"/>
      <c r="FR4" s="81"/>
      <c r="FS4" s="107"/>
      <c r="FT4" s="87" t="s">
        <v>69</v>
      </c>
      <c r="FU4" s="69" t="s">
        <v>70</v>
      </c>
      <c r="FV4" s="69" t="s">
        <v>71</v>
      </c>
      <c r="FW4" s="108" t="s">
        <v>72</v>
      </c>
      <c r="FX4" s="87" t="str">
        <f>FT4</f>
        <v>Small</v>
      </c>
      <c r="FY4" s="69" t="s">
        <v>70</v>
      </c>
      <c r="FZ4" s="69" t="str">
        <f>FV4</f>
        <v>Large</v>
      </c>
      <c r="GA4" s="69" t="s">
        <v>72</v>
      </c>
      <c r="GB4" s="89" t="s">
        <v>88</v>
      </c>
      <c r="GC4" s="109"/>
      <c r="GD4" s="110"/>
      <c r="GE4" s="68"/>
      <c r="GF4" s="78"/>
      <c r="GG4" s="111"/>
      <c r="GH4" s="69" t="s">
        <v>69</v>
      </c>
      <c r="GI4" s="69" t="s">
        <v>70</v>
      </c>
      <c r="GJ4" s="69" t="s">
        <v>71</v>
      </c>
      <c r="GK4" s="108" t="s">
        <v>89</v>
      </c>
      <c r="GL4" s="87" t="s">
        <v>69</v>
      </c>
      <c r="GM4" s="69" t="s">
        <v>70</v>
      </c>
      <c r="GN4" s="69" t="s">
        <v>71</v>
      </c>
      <c r="GO4" s="108" t="s">
        <v>89</v>
      </c>
      <c r="GP4" s="112"/>
      <c r="GQ4" s="113"/>
      <c r="GR4" s="68"/>
      <c r="GS4" s="78"/>
      <c r="GT4" s="107"/>
      <c r="GU4" s="87" t="s">
        <v>69</v>
      </c>
      <c r="GV4" s="69" t="s">
        <v>70</v>
      </c>
      <c r="GW4" s="69" t="s">
        <v>71</v>
      </c>
      <c r="GX4" s="108" t="s">
        <v>72</v>
      </c>
      <c r="GY4" s="87" t="s">
        <v>69</v>
      </c>
      <c r="GZ4" s="69" t="s">
        <v>70</v>
      </c>
      <c r="HA4" s="69" t="s">
        <v>71</v>
      </c>
      <c r="HB4" s="108" t="s">
        <v>72</v>
      </c>
      <c r="HC4" s="68"/>
      <c r="HD4" s="80"/>
      <c r="HE4" s="68"/>
      <c r="HF4" s="68"/>
      <c r="HG4" s="114"/>
      <c r="HH4" s="83" t="s">
        <v>90</v>
      </c>
      <c r="HI4" s="83" t="s">
        <v>91</v>
      </c>
      <c r="HJ4" s="83" t="s">
        <v>92</v>
      </c>
      <c r="HK4" s="115" t="s">
        <v>93</v>
      </c>
      <c r="HL4" s="116" t="s">
        <v>94</v>
      </c>
      <c r="HM4" s="116" t="s">
        <v>95</v>
      </c>
      <c r="HN4" s="116" t="s">
        <v>96</v>
      </c>
      <c r="HO4" s="116" t="s">
        <v>97</v>
      </c>
      <c r="HP4" s="116" t="s">
        <v>98</v>
      </c>
      <c r="HQ4" s="116" t="s">
        <v>99</v>
      </c>
      <c r="HR4" s="60"/>
      <c r="HS4" s="110"/>
      <c r="HT4" s="60"/>
      <c r="HU4" s="83"/>
      <c r="HV4" s="117" t="s">
        <v>90</v>
      </c>
      <c r="HW4" s="118" t="str">
        <f>HN4</f>
        <v>Volume Ratio</v>
      </c>
      <c r="HX4" s="119" t="s">
        <v>100</v>
      </c>
      <c r="HY4" s="93" t="s">
        <v>101</v>
      </c>
      <c r="HZ4" s="119" t="str">
        <f>JA4</f>
        <v>Study System</v>
      </c>
      <c r="IA4" s="93" t="s">
        <v>102</v>
      </c>
      <c r="IB4" s="119" t="str">
        <f>HZ4</f>
        <v>Study System</v>
      </c>
      <c r="IC4" s="93" t="s">
        <v>102</v>
      </c>
      <c r="ID4" s="119" t="str">
        <f>IB4</f>
        <v>Study System</v>
      </c>
      <c r="IE4" s="93" t="s">
        <v>102</v>
      </c>
      <c r="IF4" s="119" t="s">
        <v>103</v>
      </c>
      <c r="IG4" s="120" t="s">
        <v>104</v>
      </c>
      <c r="IH4" s="121"/>
      <c r="II4" s="122"/>
      <c r="IJ4" s="121"/>
      <c r="IK4" s="95"/>
      <c r="IL4" s="123" t="s">
        <v>90</v>
      </c>
      <c r="IM4" s="124" t="s">
        <v>95</v>
      </c>
      <c r="IN4" s="124" t="s">
        <v>96</v>
      </c>
      <c r="IO4" s="95" t="str">
        <f>HX4</f>
        <v>Study System</v>
      </c>
      <c r="IP4" s="125" t="s">
        <v>105</v>
      </c>
      <c r="IQ4" s="126" t="str">
        <f>IO4</f>
        <v>Study System</v>
      </c>
      <c r="IR4" s="125" t="s">
        <v>106</v>
      </c>
      <c r="IS4" s="126" t="str">
        <f>IO4</f>
        <v>Study System</v>
      </c>
      <c r="IT4" s="125" t="s">
        <v>107</v>
      </c>
      <c r="IU4" s="126" t="str">
        <f>IS4</f>
        <v>Study System</v>
      </c>
      <c r="IV4" s="125" t="s">
        <v>108</v>
      </c>
      <c r="IW4" s="126" t="str">
        <f>IU4</f>
        <v>Study System</v>
      </c>
      <c r="IX4" s="125" t="s">
        <v>109</v>
      </c>
      <c r="IY4" s="126" t="str">
        <f>IW4</f>
        <v>Study System</v>
      </c>
      <c r="IZ4" s="125" t="s">
        <v>110</v>
      </c>
      <c r="JA4" s="126" t="str">
        <f>IU4</f>
        <v>Study System</v>
      </c>
      <c r="JB4" s="125" t="s">
        <v>111</v>
      </c>
      <c r="JC4" s="126" t="str">
        <f>JA4</f>
        <v>Study System</v>
      </c>
      <c r="JD4" s="125" t="s">
        <v>112</v>
      </c>
      <c r="JE4" s="126" t="s">
        <v>113</v>
      </c>
      <c r="JF4" s="127" t="s">
        <v>114</v>
      </c>
      <c r="JG4" s="127" t="s">
        <v>115</v>
      </c>
      <c r="JH4" s="121"/>
      <c r="JI4" s="122"/>
      <c r="JJ4" s="128"/>
      <c r="JK4" s="129"/>
      <c r="JL4" s="73" t="s">
        <v>90</v>
      </c>
      <c r="JM4" s="130" t="s">
        <v>116</v>
      </c>
      <c r="JN4" s="130" t="s">
        <v>117</v>
      </c>
      <c r="JO4" s="130" t="s">
        <v>118</v>
      </c>
      <c r="JP4" s="130" t="s">
        <v>119</v>
      </c>
      <c r="JQ4" s="130" t="s">
        <v>95</v>
      </c>
      <c r="JR4" s="130" t="s">
        <v>96</v>
      </c>
      <c r="JS4" s="73" t="s">
        <v>120</v>
      </c>
      <c r="JT4" s="130" t="s">
        <v>121</v>
      </c>
      <c r="JU4" s="60"/>
      <c r="JV4" s="63"/>
      <c r="JW4" s="131"/>
      <c r="JX4" s="83"/>
      <c r="JY4" s="84" t="s">
        <v>90</v>
      </c>
      <c r="JZ4" s="118" t="str">
        <f>JT4</f>
        <v>FY Quarter</v>
      </c>
      <c r="KA4" s="118" t="str">
        <f>JS4</f>
        <v>Total System Ratio</v>
      </c>
      <c r="KB4" s="119" t="s">
        <v>25</v>
      </c>
      <c r="KC4" s="93" t="s">
        <v>122</v>
      </c>
      <c r="KD4" s="119" t="s">
        <v>25</v>
      </c>
      <c r="KE4" s="93" t="str">
        <f>LF4</f>
        <v>Target Year</v>
      </c>
      <c r="KF4" s="119" t="str">
        <f>KD4</f>
        <v>Total System</v>
      </c>
      <c r="KG4" s="93" t="str">
        <f>KE4</f>
        <v>Target Year</v>
      </c>
      <c r="KH4" s="120" t="s">
        <v>25</v>
      </c>
      <c r="KI4" s="120" t="s">
        <v>122</v>
      </c>
      <c r="KJ4" s="119" t="s">
        <v>123</v>
      </c>
      <c r="KK4" s="120" t="s">
        <v>124</v>
      </c>
      <c r="KL4" s="131"/>
      <c r="KM4" s="132"/>
      <c r="KN4" s="131"/>
      <c r="KO4" s="95"/>
      <c r="KP4" s="117" t="s">
        <v>125</v>
      </c>
      <c r="KQ4" s="133" t="s">
        <v>95</v>
      </c>
      <c r="KR4" s="118" t="s">
        <v>96</v>
      </c>
      <c r="KS4" s="119" t="s">
        <v>126</v>
      </c>
      <c r="KT4" s="93" t="s">
        <v>122</v>
      </c>
      <c r="KU4" s="119" t="s">
        <v>126</v>
      </c>
      <c r="KV4" s="93" t="str">
        <f>KT4</f>
        <v>Target Year</v>
      </c>
      <c r="KW4" s="119" t="s">
        <v>126</v>
      </c>
      <c r="KX4" s="93" t="str">
        <f>KV4</f>
        <v>Target Year</v>
      </c>
      <c r="KY4" s="119" t="s">
        <v>126</v>
      </c>
      <c r="KZ4" s="93" t="str">
        <f>KX4</f>
        <v>Target Year</v>
      </c>
      <c r="LA4" s="119" t="s">
        <v>126</v>
      </c>
      <c r="LB4" s="93" t="str">
        <f>KX4</f>
        <v>Target Year</v>
      </c>
      <c r="LC4" s="119" t="s">
        <v>126</v>
      </c>
      <c r="LD4" s="93" t="str">
        <f>KZ4</f>
        <v>Target Year</v>
      </c>
      <c r="LE4" s="119" t="s">
        <v>126</v>
      </c>
      <c r="LF4" s="93" t="str">
        <f>KZ4</f>
        <v>Target Year</v>
      </c>
      <c r="LG4" s="119" t="s">
        <v>126</v>
      </c>
      <c r="LH4" s="93" t="str">
        <f>LF4</f>
        <v>Target Year</v>
      </c>
      <c r="LI4" s="119" t="s">
        <v>25</v>
      </c>
      <c r="LJ4" s="120" t="s">
        <v>127</v>
      </c>
      <c r="LK4" s="134"/>
      <c r="LL4" s="135"/>
      <c r="LN4" s="95"/>
      <c r="LO4" s="88" t="s">
        <v>90</v>
      </c>
      <c r="LP4" s="119" t="s">
        <v>100</v>
      </c>
      <c r="LQ4" s="88" t="s">
        <v>25</v>
      </c>
      <c r="LR4" s="93" t="s">
        <v>122</v>
      </c>
      <c r="LS4" s="119" t="s">
        <v>100</v>
      </c>
      <c r="LT4" s="88" t="s">
        <v>25</v>
      </c>
      <c r="LU4" s="93" t="s">
        <v>122</v>
      </c>
      <c r="LV4" s="119" t="s">
        <v>100</v>
      </c>
      <c r="LW4" s="88" t="s">
        <v>25</v>
      </c>
      <c r="LX4" s="93" t="s">
        <v>122</v>
      </c>
      <c r="LY4" s="68"/>
      <c r="LZ4" s="80"/>
      <c r="MA4" s="68"/>
      <c r="MB4" s="88"/>
      <c r="MC4" s="88" t="s">
        <v>128</v>
      </c>
      <c r="MD4" s="88" t="s">
        <v>129</v>
      </c>
      <c r="ME4" s="68"/>
      <c r="MF4" s="80"/>
      <c r="MG4" s="68"/>
      <c r="MH4" s="69"/>
      <c r="MI4" s="70"/>
      <c r="MJ4" s="878" t="s">
        <v>130</v>
      </c>
      <c r="MK4" s="878"/>
      <c r="ML4" s="136"/>
      <c r="MM4" s="879" t="s">
        <v>131</v>
      </c>
      <c r="MN4" s="878"/>
      <c r="MO4" s="68"/>
      <c r="MP4" s="80"/>
      <c r="MQ4" s="68"/>
      <c r="MR4" s="69"/>
      <c r="MS4" s="137"/>
      <c r="MT4" s="138" t="s">
        <v>132</v>
      </c>
      <c r="MU4" s="138" t="s">
        <v>133</v>
      </c>
      <c r="MV4" s="136" t="s">
        <v>134</v>
      </c>
      <c r="MW4" s="136" t="s">
        <v>134</v>
      </c>
      <c r="MX4" s="68"/>
      <c r="MY4" s="80"/>
      <c r="MZ4" s="68"/>
      <c r="NA4" s="139"/>
      <c r="NB4" s="139"/>
      <c r="NC4" s="139"/>
      <c r="ND4" s="139"/>
      <c r="NE4" s="139"/>
      <c r="NF4" s="139"/>
      <c r="NG4" s="139"/>
      <c r="NH4" s="139"/>
      <c r="NI4" s="139"/>
      <c r="NJ4" s="139"/>
      <c r="NK4" s="139"/>
      <c r="NL4" s="139"/>
      <c r="NM4" s="139"/>
      <c r="NN4" s="139"/>
      <c r="NO4" s="139"/>
      <c r="NP4" s="139"/>
      <c r="NQ4" s="139"/>
      <c r="NR4" s="139"/>
      <c r="NS4" s="139"/>
      <c r="NT4" s="139"/>
      <c r="NU4" s="139"/>
      <c r="NV4" s="139"/>
      <c r="NW4" s="139"/>
      <c r="NX4" s="139"/>
      <c r="NY4" s="139"/>
      <c r="NZ4" s="139"/>
      <c r="OA4" s="139"/>
      <c r="OB4" s="139"/>
      <c r="OC4" s="139"/>
      <c r="OD4" s="139"/>
      <c r="OE4" s="139"/>
      <c r="OF4" s="139"/>
      <c r="OG4" s="139"/>
      <c r="OH4" s="139"/>
      <c r="OI4" s="139"/>
      <c r="OJ4" s="139"/>
      <c r="OK4" s="139"/>
      <c r="OL4" s="139"/>
      <c r="OM4" s="139"/>
      <c r="ON4" s="139"/>
      <c r="OO4" s="139"/>
      <c r="OP4" s="139"/>
      <c r="OQ4" s="139"/>
      <c r="OR4" s="139"/>
      <c r="OS4" s="139"/>
      <c r="OT4" s="139"/>
      <c r="OU4" s="139"/>
      <c r="OV4" s="139"/>
      <c r="OW4" s="139"/>
      <c r="OX4" s="139"/>
      <c r="OY4" s="139"/>
      <c r="OZ4" s="139"/>
      <c r="PA4" s="139"/>
    </row>
    <row r="5" spans="1:417" s="150" customFormat="1" ht="15" customHeight="1" x14ac:dyDescent="0.3">
      <c r="A5" s="140"/>
      <c r="B5" s="141" t="s">
        <v>135</v>
      </c>
      <c r="C5" s="142"/>
      <c r="D5" s="143"/>
      <c r="E5" s="144"/>
      <c r="F5" s="145" t="s">
        <v>136</v>
      </c>
      <c r="G5" s="146" t="s">
        <v>137</v>
      </c>
      <c r="H5" s="147" t="s">
        <v>138</v>
      </c>
      <c r="I5" s="141" t="s">
        <v>139</v>
      </c>
      <c r="J5" s="146" t="s">
        <v>140</v>
      </c>
      <c r="K5" s="145" t="s">
        <v>141</v>
      </c>
      <c r="L5" s="148" t="s">
        <v>142</v>
      </c>
      <c r="M5" s="146" t="s">
        <v>143</v>
      </c>
      <c r="N5" s="145" t="s">
        <v>144</v>
      </c>
      <c r="O5" s="148" t="s">
        <v>145</v>
      </c>
      <c r="P5" s="146" t="s">
        <v>146</v>
      </c>
      <c r="Q5" s="149" t="s">
        <v>147</v>
      </c>
      <c r="R5" s="141" t="s">
        <v>148</v>
      </c>
      <c r="T5" s="151"/>
      <c r="U5" s="140"/>
      <c r="V5" s="152" t="s">
        <v>135</v>
      </c>
      <c r="W5" s="153" t="s">
        <v>136</v>
      </c>
      <c r="X5" s="152" t="s">
        <v>137</v>
      </c>
      <c r="Y5" s="154" t="s">
        <v>149</v>
      </c>
      <c r="Z5" s="152" t="s">
        <v>139</v>
      </c>
      <c r="AA5" s="152" t="s">
        <v>140</v>
      </c>
      <c r="AB5" s="131"/>
      <c r="AC5" s="155"/>
      <c r="AD5" s="151"/>
      <c r="AE5" s="140"/>
      <c r="AF5" s="152" t="s">
        <v>135</v>
      </c>
      <c r="AG5" s="153" t="s">
        <v>136</v>
      </c>
      <c r="AH5" s="152" t="s">
        <v>137</v>
      </c>
      <c r="AI5" s="154" t="s">
        <v>149</v>
      </c>
      <c r="AJ5" s="152" t="s">
        <v>139</v>
      </c>
      <c r="AK5" s="140"/>
      <c r="AL5" s="156"/>
      <c r="AM5" s="140"/>
      <c r="AN5" s="152" t="s">
        <v>135</v>
      </c>
      <c r="AO5" s="6"/>
      <c r="AP5" s="157"/>
      <c r="AQ5" s="157"/>
      <c r="AR5" s="158"/>
      <c r="AS5" s="152" t="s">
        <v>136</v>
      </c>
      <c r="AT5" s="152" t="s">
        <v>137</v>
      </c>
      <c r="AU5" s="152"/>
      <c r="AV5" s="152">
        <v>0</v>
      </c>
      <c r="AW5" s="152" t="s">
        <v>137</v>
      </c>
      <c r="AX5" s="152" t="s">
        <v>149</v>
      </c>
      <c r="AY5" s="152"/>
      <c r="AZ5" s="152" t="s">
        <v>139</v>
      </c>
      <c r="BA5" s="152" t="s">
        <v>140</v>
      </c>
      <c r="BB5" s="152" t="s">
        <v>141</v>
      </c>
      <c r="BC5" s="152"/>
      <c r="BD5" s="152" t="s">
        <v>142</v>
      </c>
      <c r="BE5" s="152" t="s">
        <v>143</v>
      </c>
      <c r="BF5" s="152" t="s">
        <v>144</v>
      </c>
      <c r="BG5" s="152"/>
      <c r="BH5" s="152" t="s">
        <v>145</v>
      </c>
      <c r="BI5" s="152" t="s">
        <v>146</v>
      </c>
      <c r="BJ5" s="152" t="s">
        <v>147</v>
      </c>
      <c r="BK5" s="152"/>
      <c r="BL5" s="152" t="s">
        <v>148</v>
      </c>
      <c r="BM5" s="152" t="s">
        <v>150</v>
      </c>
      <c r="BN5" s="152" t="s">
        <v>151</v>
      </c>
      <c r="BO5" s="152"/>
      <c r="BP5" s="152" t="s">
        <v>152</v>
      </c>
      <c r="BQ5" s="152" t="s">
        <v>153</v>
      </c>
      <c r="BR5" s="152" t="s">
        <v>154</v>
      </c>
      <c r="BS5" s="152"/>
      <c r="BT5" s="152" t="s">
        <v>155</v>
      </c>
      <c r="BU5" s="152" t="s">
        <v>156</v>
      </c>
      <c r="BV5" s="152" t="s">
        <v>157</v>
      </c>
      <c r="BW5" s="153" t="s">
        <v>136</v>
      </c>
      <c r="BX5" s="152" t="s">
        <v>137</v>
      </c>
      <c r="BY5" s="152" t="s">
        <v>138</v>
      </c>
      <c r="BZ5" s="153" t="s">
        <v>136</v>
      </c>
      <c r="CA5" s="152" t="s">
        <v>137</v>
      </c>
      <c r="CB5" s="152" t="s">
        <v>138</v>
      </c>
      <c r="CC5" s="152"/>
      <c r="CD5" s="152"/>
      <c r="CE5" s="152"/>
      <c r="CF5" s="159" t="s">
        <v>139</v>
      </c>
      <c r="CG5" s="152" t="s">
        <v>140</v>
      </c>
      <c r="CH5" s="152"/>
      <c r="CI5" s="159" t="s">
        <v>139</v>
      </c>
      <c r="CJ5" s="152" t="s">
        <v>140</v>
      </c>
      <c r="CK5" s="152" t="s">
        <v>141</v>
      </c>
      <c r="CL5" s="160" t="s">
        <v>142</v>
      </c>
      <c r="CM5" s="152" t="s">
        <v>143</v>
      </c>
      <c r="CN5" s="140"/>
      <c r="CO5" s="151"/>
      <c r="CP5" s="140"/>
      <c r="CQ5" s="152" t="s">
        <v>135</v>
      </c>
      <c r="CR5" s="161"/>
      <c r="CS5" s="152" t="s">
        <v>136</v>
      </c>
      <c r="CT5" s="152" t="s">
        <v>137</v>
      </c>
      <c r="CU5" s="152" t="s">
        <v>149</v>
      </c>
      <c r="CV5" s="162" t="s">
        <v>139</v>
      </c>
      <c r="CW5" s="152" t="s">
        <v>140</v>
      </c>
      <c r="CX5" s="152" t="s">
        <v>141</v>
      </c>
      <c r="CY5" s="152" t="s">
        <v>142</v>
      </c>
      <c r="CZ5" s="152" t="s">
        <v>143</v>
      </c>
      <c r="DA5" s="163"/>
      <c r="DB5" s="110"/>
      <c r="DC5" s="140"/>
      <c r="DD5" s="152" t="s">
        <v>135</v>
      </c>
      <c r="DE5" s="164"/>
      <c r="DF5" s="152" t="s">
        <v>136</v>
      </c>
      <c r="DG5" s="165" t="s">
        <v>137</v>
      </c>
      <c r="DH5" s="152" t="s">
        <v>149</v>
      </c>
      <c r="DI5" s="166" t="s">
        <v>139</v>
      </c>
      <c r="DJ5" s="166" t="s">
        <v>140</v>
      </c>
      <c r="DK5" s="140"/>
      <c r="DL5" s="110"/>
      <c r="DM5" s="140"/>
      <c r="DN5" s="152" t="s">
        <v>135</v>
      </c>
      <c r="DO5" s="164"/>
      <c r="DP5" s="152" t="s">
        <v>136</v>
      </c>
      <c r="DQ5" s="152" t="s">
        <v>137</v>
      </c>
      <c r="DR5" s="152" t="s">
        <v>149</v>
      </c>
      <c r="DS5" s="162" t="s">
        <v>139</v>
      </c>
      <c r="DT5" s="152" t="s">
        <v>140</v>
      </c>
      <c r="DU5" s="152" t="s">
        <v>141</v>
      </c>
      <c r="DV5" s="152" t="s">
        <v>142</v>
      </c>
      <c r="DW5" s="152" t="s">
        <v>143</v>
      </c>
      <c r="DX5" s="140"/>
      <c r="DY5" s="151"/>
      <c r="DZ5" s="140"/>
      <c r="EA5" s="152" t="s">
        <v>135</v>
      </c>
      <c r="EB5" s="167"/>
      <c r="EC5" s="166" t="s">
        <v>136</v>
      </c>
      <c r="ED5" s="166" t="s">
        <v>137</v>
      </c>
      <c r="EE5" s="166" t="s">
        <v>149</v>
      </c>
      <c r="EF5" s="166" t="s">
        <v>139</v>
      </c>
      <c r="EG5" s="168" t="s">
        <v>140</v>
      </c>
      <c r="EH5" s="166" t="s">
        <v>141</v>
      </c>
      <c r="EI5" s="166" t="s">
        <v>142</v>
      </c>
      <c r="EJ5" s="166" t="s">
        <v>143</v>
      </c>
      <c r="EK5" s="140"/>
      <c r="EL5" s="151"/>
      <c r="EM5" s="140"/>
      <c r="EN5" s="152" t="s">
        <v>135</v>
      </c>
      <c r="EO5" s="161"/>
      <c r="EP5" s="152" t="s">
        <v>136</v>
      </c>
      <c r="EQ5" s="152" t="s">
        <v>137</v>
      </c>
      <c r="ER5" s="152" t="s">
        <v>149</v>
      </c>
      <c r="ES5" s="162" t="s">
        <v>139</v>
      </c>
      <c r="ET5" s="152" t="s">
        <v>140</v>
      </c>
      <c r="EU5" s="152" t="s">
        <v>141</v>
      </c>
      <c r="EV5" s="152" t="s">
        <v>142</v>
      </c>
      <c r="EW5" s="152" t="s">
        <v>143</v>
      </c>
      <c r="EX5" s="169"/>
      <c r="EY5" s="170"/>
      <c r="EZ5" s="140"/>
      <c r="FA5" s="152" t="s">
        <v>135</v>
      </c>
      <c r="FB5" s="161"/>
      <c r="FC5" s="152" t="s">
        <v>136</v>
      </c>
      <c r="FD5" s="152" t="s">
        <v>137</v>
      </c>
      <c r="FE5" s="152" t="s">
        <v>149</v>
      </c>
      <c r="FF5" s="162" t="s">
        <v>139</v>
      </c>
      <c r="FG5" s="152" t="s">
        <v>140</v>
      </c>
      <c r="FH5" s="152" t="s">
        <v>141</v>
      </c>
      <c r="FI5" s="152" t="s">
        <v>142</v>
      </c>
      <c r="FJ5" s="162" t="s">
        <v>143</v>
      </c>
      <c r="FK5" s="152" t="s">
        <v>144</v>
      </c>
      <c r="FL5" s="152" t="s">
        <v>145</v>
      </c>
      <c r="FM5" s="152" t="s">
        <v>146</v>
      </c>
      <c r="FN5" s="169"/>
      <c r="FO5" s="170"/>
      <c r="FP5" s="140"/>
      <c r="FQ5" s="152" t="s">
        <v>135</v>
      </c>
      <c r="FR5" s="157"/>
      <c r="FS5" s="171"/>
      <c r="FT5" s="152" t="s">
        <v>136</v>
      </c>
      <c r="FU5" s="152" t="s">
        <v>137</v>
      </c>
      <c r="FV5" s="152" t="s">
        <v>149</v>
      </c>
      <c r="FW5" s="162" t="s">
        <v>139</v>
      </c>
      <c r="FX5" s="152" t="s">
        <v>140</v>
      </c>
      <c r="FY5" s="152" t="s">
        <v>141</v>
      </c>
      <c r="FZ5" s="152" t="s">
        <v>142</v>
      </c>
      <c r="GA5" s="152" t="s">
        <v>143</v>
      </c>
      <c r="GB5" s="152" t="s">
        <v>144</v>
      </c>
      <c r="GC5" s="169"/>
      <c r="GD5" s="110"/>
      <c r="GE5" s="140"/>
      <c r="GF5" s="152" t="s">
        <v>135</v>
      </c>
      <c r="GG5" s="172"/>
      <c r="GH5" s="152" t="s">
        <v>136</v>
      </c>
      <c r="GI5" s="152" t="s">
        <v>137</v>
      </c>
      <c r="GJ5" s="152" t="s">
        <v>149</v>
      </c>
      <c r="GK5" s="162" t="s">
        <v>139</v>
      </c>
      <c r="GL5" s="152" t="s">
        <v>140</v>
      </c>
      <c r="GM5" s="152" t="s">
        <v>141</v>
      </c>
      <c r="GN5" s="152" t="s">
        <v>142</v>
      </c>
      <c r="GO5" s="152" t="s">
        <v>143</v>
      </c>
      <c r="GP5" s="173"/>
      <c r="GQ5" s="151"/>
      <c r="GR5" s="140"/>
      <c r="GS5" s="152" t="s">
        <v>135</v>
      </c>
      <c r="GT5" s="158"/>
      <c r="GU5" s="152" t="s">
        <v>136</v>
      </c>
      <c r="GV5" s="152" t="s">
        <v>137</v>
      </c>
      <c r="GW5" s="152" t="s">
        <v>149</v>
      </c>
      <c r="GX5" s="162" t="s">
        <v>139</v>
      </c>
      <c r="GY5" s="152" t="s">
        <v>140</v>
      </c>
      <c r="GZ5" s="152" t="s">
        <v>141</v>
      </c>
      <c r="HA5" s="152" t="s">
        <v>142</v>
      </c>
      <c r="HB5" s="152" t="s">
        <v>143</v>
      </c>
      <c r="HC5" s="140"/>
      <c r="HD5" s="151"/>
      <c r="HE5" s="140"/>
      <c r="HF5" s="140"/>
      <c r="HG5" s="174" t="s">
        <v>158</v>
      </c>
      <c r="HH5" s="152" t="s">
        <v>136</v>
      </c>
      <c r="HI5" s="152" t="s">
        <v>137</v>
      </c>
      <c r="HJ5" s="152" t="s">
        <v>149</v>
      </c>
      <c r="HK5" s="152" t="s">
        <v>139</v>
      </c>
      <c r="HL5" s="152" t="s">
        <v>140</v>
      </c>
      <c r="HM5" s="152" t="s">
        <v>141</v>
      </c>
      <c r="HN5" s="152" t="s">
        <v>142</v>
      </c>
      <c r="HO5" s="152" t="s">
        <v>143</v>
      </c>
      <c r="HP5" s="152" t="s">
        <v>144</v>
      </c>
      <c r="HQ5" s="152" t="s">
        <v>145</v>
      </c>
      <c r="HR5" s="131"/>
      <c r="HS5" s="57"/>
      <c r="HT5" s="131"/>
      <c r="HU5" s="175" t="s">
        <v>135</v>
      </c>
      <c r="HV5" s="176" t="s">
        <v>136</v>
      </c>
      <c r="HW5" s="162" t="s">
        <v>137</v>
      </c>
      <c r="HX5" s="152" t="s">
        <v>149</v>
      </c>
      <c r="HY5" s="162" t="s">
        <v>139</v>
      </c>
      <c r="HZ5" s="152" t="s">
        <v>140</v>
      </c>
      <c r="IA5" s="162" t="s">
        <v>141</v>
      </c>
      <c r="IB5" s="152" t="s">
        <v>142</v>
      </c>
      <c r="IC5" s="162" t="s">
        <v>143</v>
      </c>
      <c r="ID5" s="152" t="s">
        <v>144</v>
      </c>
      <c r="IE5" s="152" t="s">
        <v>145</v>
      </c>
      <c r="IF5" s="152" t="s">
        <v>146</v>
      </c>
      <c r="IG5" s="152" t="s">
        <v>147</v>
      </c>
      <c r="IH5" s="131"/>
      <c r="II5" s="132"/>
      <c r="IJ5" s="131"/>
      <c r="IK5" s="177" t="s">
        <v>158</v>
      </c>
      <c r="IL5" s="178" t="s">
        <v>136</v>
      </c>
      <c r="IM5" s="179" t="s">
        <v>137</v>
      </c>
      <c r="IN5" s="178" t="s">
        <v>149</v>
      </c>
      <c r="IO5" s="180" t="s">
        <v>139</v>
      </c>
      <c r="IP5" s="179" t="s">
        <v>140</v>
      </c>
      <c r="IQ5" s="180" t="s">
        <v>141</v>
      </c>
      <c r="IR5" s="179" t="s">
        <v>142</v>
      </c>
      <c r="IS5" s="180" t="s">
        <v>143</v>
      </c>
      <c r="IT5" s="179" t="s">
        <v>144</v>
      </c>
      <c r="IU5" s="180" t="s">
        <v>145</v>
      </c>
      <c r="IV5" s="179" t="s">
        <v>146</v>
      </c>
      <c r="IW5" s="180" t="s">
        <v>147</v>
      </c>
      <c r="IX5" s="179" t="s">
        <v>148</v>
      </c>
      <c r="IY5" s="180" t="s">
        <v>150</v>
      </c>
      <c r="IZ5" s="179" t="s">
        <v>151</v>
      </c>
      <c r="JA5" s="180" t="s">
        <v>152</v>
      </c>
      <c r="JB5" s="179" t="s">
        <v>153</v>
      </c>
      <c r="JC5" s="181" t="s">
        <v>159</v>
      </c>
      <c r="JD5" s="179" t="s">
        <v>155</v>
      </c>
      <c r="JE5" s="180" t="s">
        <v>156</v>
      </c>
      <c r="JF5" s="180" t="s">
        <v>157</v>
      </c>
      <c r="JG5" s="180" t="s">
        <v>160</v>
      </c>
      <c r="JH5" s="131"/>
      <c r="JI5" s="132"/>
      <c r="JJ5" s="11"/>
      <c r="JK5" s="174" t="s">
        <v>135</v>
      </c>
      <c r="JL5" s="152" t="s">
        <v>136</v>
      </c>
      <c r="JM5" s="152" t="s">
        <v>137</v>
      </c>
      <c r="JN5" s="152" t="s">
        <v>161</v>
      </c>
      <c r="JO5" s="152" t="s">
        <v>139</v>
      </c>
      <c r="JP5" s="152" t="s">
        <v>162</v>
      </c>
      <c r="JQ5" s="152" t="s">
        <v>141</v>
      </c>
      <c r="JR5" s="152" t="s">
        <v>142</v>
      </c>
      <c r="JS5" s="152" t="s">
        <v>143</v>
      </c>
      <c r="JT5" s="152" t="s">
        <v>144</v>
      </c>
      <c r="JU5" s="131"/>
      <c r="JV5" s="132"/>
      <c r="JW5" s="60"/>
      <c r="JX5" s="174" t="s">
        <v>135</v>
      </c>
      <c r="JY5" s="152" t="str">
        <f>JL5</f>
        <v>(a)</v>
      </c>
      <c r="JZ5" s="152" t="s">
        <v>137</v>
      </c>
      <c r="KA5" s="152" t="s">
        <v>161</v>
      </c>
      <c r="KB5" s="152" t="s">
        <v>139</v>
      </c>
      <c r="KC5" s="152" t="s">
        <v>162</v>
      </c>
      <c r="KD5" s="152" t="s">
        <v>141</v>
      </c>
      <c r="KE5" s="152" t="s">
        <v>142</v>
      </c>
      <c r="KF5" s="152" t="s">
        <v>143</v>
      </c>
      <c r="KG5" s="152" t="s">
        <v>144</v>
      </c>
      <c r="KH5" s="152" t="s">
        <v>145</v>
      </c>
      <c r="KI5" s="152" t="s">
        <v>146</v>
      </c>
      <c r="KJ5" s="152" t="s">
        <v>147</v>
      </c>
      <c r="KK5" s="152" t="s">
        <v>148</v>
      </c>
      <c r="KL5" s="60"/>
      <c r="KM5" s="63"/>
      <c r="KN5" s="60"/>
      <c r="KO5" s="182" t="s">
        <v>135</v>
      </c>
      <c r="KP5" s="176" t="s">
        <v>136</v>
      </c>
      <c r="KQ5" s="176" t="s">
        <v>137</v>
      </c>
      <c r="KR5" s="176" t="s">
        <v>161</v>
      </c>
      <c r="KS5" s="152" t="s">
        <v>139</v>
      </c>
      <c r="KT5" s="162" t="s">
        <v>162</v>
      </c>
      <c r="KU5" s="152" t="s">
        <v>141</v>
      </c>
      <c r="KV5" s="162" t="s">
        <v>142</v>
      </c>
      <c r="KW5" s="152" t="s">
        <v>143</v>
      </c>
      <c r="KX5" s="162" t="s">
        <v>144</v>
      </c>
      <c r="KY5" s="162" t="s">
        <v>145</v>
      </c>
      <c r="KZ5" s="162" t="s">
        <v>146</v>
      </c>
      <c r="LA5" s="152" t="s">
        <v>147</v>
      </c>
      <c r="LB5" s="162" t="s">
        <v>148</v>
      </c>
      <c r="LC5" s="152" t="s">
        <v>150</v>
      </c>
      <c r="LD5" s="162" t="s">
        <v>151</v>
      </c>
      <c r="LE5" s="152" t="s">
        <v>152</v>
      </c>
      <c r="LF5" s="162" t="s">
        <v>153</v>
      </c>
      <c r="LG5" s="152" t="s">
        <v>154</v>
      </c>
      <c r="LH5" s="162" t="s">
        <v>163</v>
      </c>
      <c r="LI5" s="152" t="s">
        <v>156</v>
      </c>
      <c r="LJ5" s="152" t="s">
        <v>157</v>
      </c>
      <c r="LK5" s="11"/>
      <c r="LL5" s="113"/>
      <c r="LN5" s="174" t="s">
        <v>158</v>
      </c>
      <c r="LO5" s="162" t="s">
        <v>136</v>
      </c>
      <c r="LP5" s="152" t="s">
        <v>137</v>
      </c>
      <c r="LQ5" s="152" t="s">
        <v>161</v>
      </c>
      <c r="LR5" s="162" t="s">
        <v>139</v>
      </c>
      <c r="LS5" s="152" t="s">
        <v>162</v>
      </c>
      <c r="LT5" s="152" t="s">
        <v>141</v>
      </c>
      <c r="LU5" s="162" t="s">
        <v>142</v>
      </c>
      <c r="LV5" s="152" t="s">
        <v>143</v>
      </c>
      <c r="LW5" s="152" t="s">
        <v>144</v>
      </c>
      <c r="LX5" s="152" t="s">
        <v>145</v>
      </c>
      <c r="LY5" s="140"/>
      <c r="LZ5" s="156"/>
      <c r="MB5" s="174" t="s">
        <v>135</v>
      </c>
      <c r="MC5" s="153" t="s">
        <v>136</v>
      </c>
      <c r="MD5" s="152" t="s">
        <v>137</v>
      </c>
      <c r="MF5" s="156"/>
      <c r="MH5" s="183"/>
      <c r="MI5" s="183"/>
      <c r="MJ5" s="184" t="s">
        <v>62</v>
      </c>
      <c r="MK5" s="185" t="s">
        <v>63</v>
      </c>
      <c r="ML5" s="186"/>
      <c r="MM5" s="187" t="s">
        <v>62</v>
      </c>
      <c r="MN5" s="185" t="s">
        <v>63</v>
      </c>
      <c r="MO5" s="140"/>
      <c r="MP5" s="156"/>
      <c r="MR5" s="183"/>
      <c r="MS5" s="183"/>
      <c r="MT5" s="183"/>
      <c r="MU5" s="183"/>
      <c r="MV5" s="188" t="s">
        <v>164</v>
      </c>
      <c r="MW5" s="188" t="s">
        <v>165</v>
      </c>
      <c r="MX5" s="140"/>
      <c r="MY5" s="156"/>
      <c r="NA5" s="189"/>
      <c r="NB5" s="189"/>
      <c r="NC5" s="189"/>
      <c r="ND5" s="189"/>
      <c r="NE5" s="189"/>
      <c r="NF5" s="189"/>
      <c r="NG5" s="189"/>
      <c r="NH5" s="189"/>
      <c r="NI5" s="189"/>
      <c r="NJ5" s="189"/>
      <c r="NK5" s="189"/>
      <c r="NL5" s="189"/>
      <c r="NM5" s="189"/>
      <c r="NN5" s="189"/>
      <c r="NO5" s="189"/>
      <c r="NP5" s="189"/>
      <c r="NQ5" s="189"/>
      <c r="NR5" s="189"/>
      <c r="NS5" s="189"/>
      <c r="NT5" s="189"/>
      <c r="NU5" s="189"/>
      <c r="NV5" s="189"/>
      <c r="NW5" s="189"/>
      <c r="NX5" s="189"/>
      <c r="NY5" s="189"/>
      <c r="NZ5" s="189"/>
      <c r="OA5" s="189"/>
      <c r="OB5" s="189"/>
      <c r="OC5" s="189"/>
      <c r="OD5" s="189"/>
      <c r="OE5" s="189"/>
      <c r="OF5" s="189"/>
      <c r="OG5" s="189"/>
      <c r="OH5" s="189"/>
      <c r="OI5" s="189"/>
      <c r="OJ5" s="189"/>
      <c r="OK5" s="189"/>
      <c r="OL5" s="189"/>
      <c r="OM5" s="189"/>
      <c r="ON5" s="189"/>
      <c r="OO5" s="189"/>
      <c r="OP5" s="189"/>
      <c r="OQ5" s="189"/>
      <c r="OR5" s="189"/>
      <c r="OS5" s="189"/>
      <c r="OT5" s="189"/>
      <c r="OU5" s="189"/>
      <c r="OV5" s="189"/>
      <c r="OW5" s="189"/>
      <c r="OX5" s="189"/>
      <c r="OY5" s="189"/>
      <c r="OZ5" s="189"/>
      <c r="PA5" s="189"/>
    </row>
    <row r="6" spans="1:417" s="29" customFormat="1" ht="15.95" customHeight="1" x14ac:dyDescent="0.3">
      <c r="B6" s="190">
        <v>1</v>
      </c>
      <c r="C6" s="191" t="s">
        <v>166</v>
      </c>
      <c r="D6" s="192"/>
      <c r="E6" s="193"/>
      <c r="F6" s="194"/>
      <c r="G6" s="195"/>
      <c r="H6" s="196"/>
      <c r="I6" s="197"/>
      <c r="J6" s="195"/>
      <c r="K6" s="194"/>
      <c r="L6" s="198"/>
      <c r="M6" s="195"/>
      <c r="N6" s="194"/>
      <c r="O6" s="198"/>
      <c r="P6" s="195"/>
      <c r="Q6" s="199"/>
      <c r="R6" s="197"/>
      <c r="S6" s="12"/>
      <c r="T6" s="13"/>
      <c r="U6" s="12"/>
      <c r="V6" s="200"/>
      <c r="W6" s="201" t="s">
        <v>23</v>
      </c>
      <c r="X6" s="202"/>
      <c r="Y6" s="203"/>
      <c r="Z6" s="203"/>
      <c r="AA6" s="203"/>
      <c r="AB6" s="204"/>
      <c r="AC6" s="205"/>
      <c r="AD6" s="13"/>
      <c r="AE6" s="12"/>
      <c r="AF6" s="7"/>
      <c r="AG6" s="206" t="s">
        <v>23</v>
      </c>
      <c r="AK6" s="12"/>
      <c r="AL6" s="13"/>
      <c r="AM6" s="12"/>
      <c r="AN6" s="207">
        <v>1</v>
      </c>
      <c r="AO6" s="208"/>
      <c r="AP6" s="209" t="s">
        <v>166</v>
      </c>
      <c r="AQ6" s="7"/>
      <c r="AR6" s="210"/>
      <c r="CF6" s="211"/>
      <c r="CL6" s="211"/>
      <c r="CN6" s="12"/>
      <c r="CO6" s="13"/>
      <c r="CP6" s="12"/>
      <c r="CQ6" s="207">
        <v>1</v>
      </c>
      <c r="CR6" s="212" t="s">
        <v>69</v>
      </c>
      <c r="CS6" s="213">
        <v>220439.78471212118</v>
      </c>
      <c r="CT6" s="214">
        <v>4372239.2207000004</v>
      </c>
      <c r="CU6" s="214">
        <v>505731.64599999983</v>
      </c>
      <c r="CV6" s="215">
        <f>CU6+CT6</f>
        <v>4877970.8667000001</v>
      </c>
      <c r="CW6" s="213">
        <v>228074.10137878783</v>
      </c>
      <c r="CX6" s="214">
        <v>4511968.0904333349</v>
      </c>
      <c r="CY6" s="214">
        <v>398483.98851028876</v>
      </c>
      <c r="CZ6" s="214">
        <f>CY6+CX6</f>
        <v>4910452.0789436232</v>
      </c>
      <c r="DA6" s="216"/>
      <c r="DB6" s="110"/>
      <c r="DC6" s="12"/>
      <c r="DD6" s="207">
        <v>1</v>
      </c>
      <c r="DE6" s="217" t="s">
        <v>69</v>
      </c>
      <c r="DF6" s="218">
        <v>28455.290000000005</v>
      </c>
      <c r="DG6" s="215">
        <v>576669.87069999997</v>
      </c>
      <c r="DH6" s="218">
        <v>28893.39</v>
      </c>
      <c r="DI6" s="214">
        <v>588568.66669999994</v>
      </c>
      <c r="DJ6" s="214">
        <v>462664.56367986067</v>
      </c>
      <c r="DK6" s="12"/>
      <c r="DL6" s="110"/>
      <c r="DM6" s="12"/>
      <c r="DN6" s="207">
        <v>1</v>
      </c>
      <c r="DO6" s="217" t="s">
        <v>69</v>
      </c>
      <c r="DP6" s="218">
        <v>111084.36150000004</v>
      </c>
      <c r="DQ6" s="214">
        <v>2730012.3966000015</v>
      </c>
      <c r="DR6" s="214">
        <v>5486.73</v>
      </c>
      <c r="DS6" s="215">
        <v>2735499.1266000015</v>
      </c>
      <c r="DT6" s="218">
        <v>112869.42150000001</v>
      </c>
      <c r="DU6" s="214">
        <v>2780139.8102000016</v>
      </c>
      <c r="DV6" s="214">
        <v>132993.06975637792</v>
      </c>
      <c r="DW6" s="214">
        <v>2913132.8799563777</v>
      </c>
      <c r="DX6" s="12"/>
      <c r="DY6" s="13"/>
      <c r="DZ6" s="12"/>
      <c r="EA6" s="207">
        <v>1</v>
      </c>
      <c r="EB6" s="219" t="s">
        <v>167</v>
      </c>
      <c r="EC6" s="220">
        <v>243519</v>
      </c>
      <c r="ED6" s="220">
        <v>292950</v>
      </c>
      <c r="EE6" s="220">
        <v>411160</v>
      </c>
      <c r="EF6" s="220">
        <f>SUM(EC6:EE6)</f>
        <v>947629</v>
      </c>
      <c r="EG6" s="221">
        <v>230587</v>
      </c>
      <c r="EH6" s="220">
        <v>283054</v>
      </c>
      <c r="EI6" s="220">
        <v>377577</v>
      </c>
      <c r="EJ6" s="220">
        <v>891218</v>
      </c>
      <c r="EK6" s="12"/>
      <c r="EL6" s="13"/>
      <c r="EM6" s="12"/>
      <c r="EN6" s="207">
        <v>1</v>
      </c>
      <c r="EO6" s="210" t="s">
        <v>168</v>
      </c>
      <c r="EP6" s="214">
        <v>210926.82500000001</v>
      </c>
      <c r="EQ6" s="214">
        <v>231846.94500000004</v>
      </c>
      <c r="ER6" s="214">
        <v>342558.05500000005</v>
      </c>
      <c r="ES6" s="215">
        <f>SUM(EP6:ER6)</f>
        <v>785331.82500000007</v>
      </c>
      <c r="ET6" s="214">
        <v>211838.37404318264</v>
      </c>
      <c r="EU6" s="214">
        <v>231846.75500000003</v>
      </c>
      <c r="EV6" s="214">
        <v>342558.44499999995</v>
      </c>
      <c r="EW6" s="214">
        <f>SUM(ET6:EV6)</f>
        <v>786243.57404318266</v>
      </c>
      <c r="EX6" s="16"/>
      <c r="EY6" s="113"/>
      <c r="EZ6" s="12"/>
      <c r="FA6" s="207">
        <v>1</v>
      </c>
      <c r="FB6" s="210" t="s">
        <v>168</v>
      </c>
      <c r="FC6" s="214">
        <v>219734.80599999995</v>
      </c>
      <c r="FD6" s="214">
        <v>250895.25999999998</v>
      </c>
      <c r="FE6" s="214">
        <v>159814.32199999999</v>
      </c>
      <c r="FF6" s="215">
        <f>SUM(FC6:FE6)</f>
        <v>630444.38799999992</v>
      </c>
      <c r="FG6" s="214">
        <v>219902.16764496636</v>
      </c>
      <c r="FH6" s="214">
        <v>138620.299</v>
      </c>
      <c r="FI6" s="214">
        <v>229901.47399999996</v>
      </c>
      <c r="FJ6" s="215">
        <f>SUM(FG6:FI6)</f>
        <v>588423.94064496632</v>
      </c>
      <c r="FK6" s="214">
        <f>(FJ6/$FJ$9)*$FK$9</f>
        <v>362471.94417035003</v>
      </c>
      <c r="FL6" s="214">
        <f>(FJ6/$FJ$9)*$FL$9</f>
        <v>177617.4172857512</v>
      </c>
      <c r="FM6" s="214">
        <f>SUM(FK6:FL6)</f>
        <v>540089.36145610129</v>
      </c>
      <c r="FN6" s="16"/>
      <c r="FO6" s="113"/>
      <c r="FP6" s="12"/>
      <c r="FQ6" s="207">
        <v>1</v>
      </c>
      <c r="FR6" s="209" t="s">
        <v>169</v>
      </c>
      <c r="FS6" s="222"/>
      <c r="FT6" s="223"/>
      <c r="FU6" s="223"/>
      <c r="FV6" s="223"/>
      <c r="FW6" s="224"/>
      <c r="FX6" s="223"/>
      <c r="FY6" s="223"/>
      <c r="FZ6" s="223"/>
      <c r="GA6" s="223"/>
      <c r="GB6" s="223"/>
      <c r="GC6" s="16"/>
      <c r="GD6" s="113"/>
      <c r="GE6" s="12"/>
      <c r="GF6" s="207">
        <v>1</v>
      </c>
      <c r="GG6" s="210" t="s">
        <v>170</v>
      </c>
      <c r="GH6" s="214">
        <v>975</v>
      </c>
      <c r="GI6" s="214">
        <v>4838.8599999999997</v>
      </c>
      <c r="GJ6" s="214">
        <v>3065.02</v>
      </c>
      <c r="GK6" s="215">
        <f t="shared" ref="GK6:GK12" si="0">SUM(GH6:GJ6)</f>
        <v>8878.8799999999992</v>
      </c>
      <c r="GL6" s="214">
        <v>1170</v>
      </c>
      <c r="GM6" s="214">
        <v>4838.8599999999997</v>
      </c>
      <c r="GN6" s="214">
        <v>3065.02</v>
      </c>
      <c r="GO6" s="214">
        <f>SUM(GL6:GN6)</f>
        <v>9073.8799999999992</v>
      </c>
      <c r="GP6" s="225"/>
      <c r="GQ6" s="226"/>
      <c r="GR6" s="12"/>
      <c r="GS6" s="207">
        <v>1</v>
      </c>
      <c r="GT6" s="227" t="s">
        <v>171</v>
      </c>
      <c r="GU6" s="228">
        <v>271488265</v>
      </c>
      <c r="GV6" s="228">
        <v>607201162</v>
      </c>
      <c r="GW6" s="228">
        <v>1222438391</v>
      </c>
      <c r="GX6" s="229">
        <f>SUM(GU6:GW6)</f>
        <v>2101127818</v>
      </c>
      <c r="GY6" s="220">
        <v>275211058.53333336</v>
      </c>
      <c r="GZ6" s="220">
        <v>607201162</v>
      </c>
      <c r="HA6" s="220">
        <v>1227908494</v>
      </c>
      <c r="HB6" s="220">
        <f>SUM(GY6:HA6)</f>
        <v>2110320714.5333333</v>
      </c>
      <c r="HC6" s="230"/>
      <c r="HD6" s="13"/>
      <c r="HE6" s="12"/>
      <c r="HF6" s="12"/>
      <c r="HG6" s="207">
        <v>1</v>
      </c>
      <c r="HH6" s="231">
        <v>1</v>
      </c>
      <c r="HI6" s="231">
        <v>10</v>
      </c>
      <c r="HJ6" s="231">
        <v>18</v>
      </c>
      <c r="HK6" s="232">
        <v>11051447.333333334</v>
      </c>
      <c r="HL6" s="233">
        <v>13321074</v>
      </c>
      <c r="HM6" s="234">
        <f t="shared" ref="HM6:HM26" si="1">HJ6/HI6</f>
        <v>1.8</v>
      </c>
      <c r="HN6" s="234">
        <f t="shared" ref="HN6:HN26" si="2">HL6/HK6</f>
        <v>1.2053691790957577</v>
      </c>
      <c r="HO6" s="235">
        <v>1</v>
      </c>
      <c r="HP6" s="235">
        <v>0</v>
      </c>
      <c r="HQ6" s="235">
        <v>0</v>
      </c>
      <c r="HR6" s="12"/>
      <c r="HS6" s="63"/>
      <c r="HT6" s="12"/>
      <c r="HU6" s="236">
        <v>1</v>
      </c>
      <c r="HV6" s="237">
        <v>1</v>
      </c>
      <c r="HW6" s="238">
        <f t="shared" ref="HW6:HW26" si="3">HN6</f>
        <v>1.2053691790957577</v>
      </c>
      <c r="HX6" s="214">
        <v>450</v>
      </c>
      <c r="HY6" s="215">
        <f>HW6*HX6</f>
        <v>542.416130593091</v>
      </c>
      <c r="HZ6" s="214">
        <v>1248843</v>
      </c>
      <c r="IA6" s="215">
        <v>1445527</v>
      </c>
      <c r="IB6" s="214">
        <v>423688.08482965297</v>
      </c>
      <c r="IC6" s="215">
        <v>656401</v>
      </c>
      <c r="ID6" s="214">
        <v>163617.46277034699</v>
      </c>
      <c r="IE6" s="214">
        <v>197219.44678522387</v>
      </c>
      <c r="IF6" s="214">
        <f>SUM(HX6,IB6,ID6)</f>
        <v>587755.54759999993</v>
      </c>
      <c r="IG6" s="214">
        <f>SUM(HY6,IC6,IE6)</f>
        <v>854162.86291581695</v>
      </c>
      <c r="IH6" s="239"/>
      <c r="II6" s="240"/>
      <c r="IJ6" s="239"/>
      <c r="IK6" s="241">
        <v>1</v>
      </c>
      <c r="IL6" s="242">
        <v>1</v>
      </c>
      <c r="IM6" s="243">
        <f t="shared" ref="IM6:IN25" si="4">HM6</f>
        <v>1.8</v>
      </c>
      <c r="IN6" s="244">
        <f t="shared" si="4"/>
        <v>1.2053691790957577</v>
      </c>
      <c r="IO6" s="214">
        <v>334654.1984639077</v>
      </c>
      <c r="IP6" s="215">
        <f>IO6*$IN6</f>
        <v>403381.85648338922</v>
      </c>
      <c r="IQ6" s="214">
        <v>2738.7486840154561</v>
      </c>
      <c r="IR6" s="215">
        <f>IQ6*$IN6</f>
        <v>3301.2032530012971</v>
      </c>
      <c r="IS6" s="214">
        <v>130066.05193609232</v>
      </c>
      <c r="IT6" s="215">
        <f>IS6*IM6</f>
        <v>234118.89348496619</v>
      </c>
      <c r="IU6" s="214">
        <v>378464.8</v>
      </c>
      <c r="IV6" s="215">
        <v>768816.15</v>
      </c>
      <c r="IW6" s="214">
        <v>12363.946466613557</v>
      </c>
      <c r="IX6" s="215">
        <f>IW6*$IN6</f>
        <v>14903.120002845877</v>
      </c>
      <c r="IY6" s="214">
        <v>27674.596866666678</v>
      </c>
      <c r="IZ6" s="215">
        <f>IY6*$IN6</f>
        <v>33358.106106980042</v>
      </c>
      <c r="JA6" s="214">
        <v>4657.91</v>
      </c>
      <c r="JB6" s="215">
        <f>JA6*$IN6</f>
        <v>5614.5011530019201</v>
      </c>
      <c r="JC6" s="214">
        <v>129115.55179342482</v>
      </c>
      <c r="JD6" s="215">
        <f>JC6*$IN6</f>
        <v>155631.90667373626</v>
      </c>
      <c r="JE6" s="214">
        <f>IO6+IQ6+IS6+IU6+IW6+JA6+JC6+IY6</f>
        <v>1019735.8042107205</v>
      </c>
      <c r="JF6" s="214">
        <f>IP6+IR6+IT6+IV6+IX6+JB6+JD6+IZ6</f>
        <v>1619125.7371579208</v>
      </c>
      <c r="JG6" s="245">
        <f t="shared" ref="JG6:JG26" si="5">JF6/HL6*100</f>
        <v>12.154618592749509</v>
      </c>
      <c r="JH6" s="12"/>
      <c r="JI6" s="13"/>
      <c r="JJ6" s="12"/>
      <c r="JK6" s="207">
        <v>1</v>
      </c>
      <c r="JL6" s="231">
        <v>1</v>
      </c>
      <c r="JM6" s="29">
        <f t="shared" ref="JM6:JM25" si="6">HJ6</f>
        <v>18</v>
      </c>
      <c r="JN6" s="246">
        <v>17</v>
      </c>
      <c r="JO6" s="213">
        <f t="shared" ref="JO6:JO25" si="7">HL6</f>
        <v>13321074</v>
      </c>
      <c r="JP6" s="213">
        <f t="shared" ref="JP6:JP25" si="8">JO6*$JR$26</f>
        <v>13703504.319543362</v>
      </c>
      <c r="JQ6" s="247">
        <f>JN6/JM6</f>
        <v>0.94444444444444442</v>
      </c>
      <c r="JR6" s="247">
        <f>JP6/JO6</f>
        <v>1.0287086701525239</v>
      </c>
      <c r="JS6" s="247">
        <f>LJ7/LI7</f>
        <v>1.0033856322853856</v>
      </c>
      <c r="JT6" s="231" t="s">
        <v>403</v>
      </c>
      <c r="JU6" s="248"/>
      <c r="JV6" s="249"/>
      <c r="JW6" s="248"/>
      <c r="JX6" s="207">
        <v>1</v>
      </c>
      <c r="JY6" s="231">
        <v>1</v>
      </c>
      <c r="JZ6" s="250" t="str">
        <f t="shared" ref="JZ6:JZ25" si="9">JT6</f>
        <v>Q4</v>
      </c>
      <c r="KA6" s="251">
        <f t="shared" ref="KA6:KA26" si="10">JS6</f>
        <v>1.0033856322853856</v>
      </c>
      <c r="KB6" s="214">
        <f>HY6</f>
        <v>542.416130593091</v>
      </c>
      <c r="KC6" s="214">
        <f>KB6*JS6</f>
        <v>544.25255215694085</v>
      </c>
      <c r="KD6" s="214">
        <f t="shared" ref="KD6:KD26" si="11">IA6</f>
        <v>1445527</v>
      </c>
      <c r="KE6" s="214">
        <f>HL6/$HL$26*$KE$26</f>
        <v>1509999.7216369163</v>
      </c>
      <c r="KF6" s="214">
        <f t="shared" ref="KF6:KF25" si="12">IC6</f>
        <v>656401</v>
      </c>
      <c r="KG6" s="214">
        <f t="shared" ref="KG6:KG25" si="13">HL6/$HL$26*$KG$26</f>
        <v>773211.53292450437</v>
      </c>
      <c r="KH6" s="214">
        <f>IE6</f>
        <v>197219.44678522387</v>
      </c>
      <c r="KI6" s="214">
        <f>HL6/$HL$26*$KI$26</f>
        <v>29094.962329744198</v>
      </c>
      <c r="KJ6" s="214">
        <f>SUM(KB6,KF6,KH6)</f>
        <v>854162.86291581695</v>
      </c>
      <c r="KK6" s="214">
        <f>SUM(KC6,KG6,KI6)</f>
        <v>802850.74780640553</v>
      </c>
      <c r="KL6" s="252"/>
      <c r="KM6" s="249"/>
      <c r="KN6" s="248"/>
      <c r="KO6" s="253">
        <v>1</v>
      </c>
      <c r="KP6" s="254"/>
      <c r="KQ6" s="254"/>
      <c r="KR6" s="255" t="s">
        <v>172</v>
      </c>
      <c r="KS6" s="256"/>
      <c r="KT6" s="257">
        <v>1.7538449199999999</v>
      </c>
      <c r="KU6" s="258"/>
      <c r="KV6" s="257">
        <v>1.7538449199999999</v>
      </c>
      <c r="KW6" s="258"/>
      <c r="KX6" s="257">
        <v>1.7538449199999999</v>
      </c>
      <c r="KY6" s="258"/>
      <c r="KZ6" s="257">
        <v>1.7538449199999999</v>
      </c>
      <c r="LA6" s="258"/>
      <c r="LB6" s="257">
        <v>1.7538449199999999</v>
      </c>
      <c r="LC6" s="258"/>
      <c r="LD6" s="257">
        <v>1.7538449199999999</v>
      </c>
      <c r="LE6" s="258"/>
      <c r="LF6" s="257">
        <v>1.7538449199999999</v>
      </c>
      <c r="LG6" s="258"/>
      <c r="LH6" s="257">
        <v>1.7538449199999999</v>
      </c>
      <c r="LI6" s="256"/>
      <c r="LJ6" s="259"/>
      <c r="LK6" s="260"/>
      <c r="LL6" s="261"/>
      <c r="LM6" s="12"/>
      <c r="LN6" s="207">
        <v>1</v>
      </c>
      <c r="LO6" s="262">
        <v>1</v>
      </c>
      <c r="LP6" s="214">
        <f t="shared" ref="LP6:LQ25" si="14">IF6</f>
        <v>587755.54759999993</v>
      </c>
      <c r="LQ6" s="214">
        <f t="shared" si="14"/>
        <v>854162.86291581695</v>
      </c>
      <c r="LR6" s="215">
        <f t="shared" ref="LR6:LR25" si="15">KK6</f>
        <v>802850.74780640553</v>
      </c>
      <c r="LS6" s="214">
        <f t="shared" ref="LS6:LT25" si="16">JE6</f>
        <v>1019735.8042107205</v>
      </c>
      <c r="LT6" s="214">
        <f t="shared" si="16"/>
        <v>1619125.7371579208</v>
      </c>
      <c r="LU6" s="215">
        <f>LJ7</f>
        <v>1624607.5015277416</v>
      </c>
      <c r="LV6" s="214">
        <f>LP6-LS6</f>
        <v>-431980.25661072053</v>
      </c>
      <c r="LW6" s="214">
        <f>LQ6-LT6</f>
        <v>-764962.87424210389</v>
      </c>
      <c r="LX6" s="214">
        <f>LR6-LU6</f>
        <v>-821756.75372133602</v>
      </c>
      <c r="LY6" s="12"/>
      <c r="LZ6" s="263"/>
      <c r="MA6" s="8"/>
      <c r="MB6" s="207">
        <v>1</v>
      </c>
      <c r="MC6" s="209" t="s">
        <v>173</v>
      </c>
      <c r="MD6" s="190"/>
      <c r="ME6" s="8"/>
      <c r="MF6" s="263"/>
      <c r="MG6" s="8"/>
      <c r="MH6" s="264" t="s">
        <v>135</v>
      </c>
      <c r="MI6" s="264"/>
      <c r="MJ6" s="153" t="s">
        <v>136</v>
      </c>
      <c r="MK6" s="152" t="s">
        <v>137</v>
      </c>
      <c r="ML6" s="152"/>
      <c r="MM6" s="159" t="s">
        <v>138</v>
      </c>
      <c r="MN6" s="152" t="s">
        <v>139</v>
      </c>
      <c r="MO6" s="12"/>
      <c r="MP6" s="263"/>
      <c r="MQ6" s="8"/>
      <c r="MR6" s="264" t="s">
        <v>135</v>
      </c>
      <c r="MS6" s="33"/>
      <c r="MT6" s="18"/>
      <c r="MU6" s="12"/>
      <c r="MV6" s="12"/>
      <c r="MW6" s="12"/>
      <c r="MX6" s="12"/>
      <c r="MY6" s="263"/>
      <c r="MZ6" s="8"/>
    </row>
    <row r="7" spans="1:417" x14ac:dyDescent="0.3">
      <c r="B7" s="152">
        <f>B6+1</f>
        <v>2</v>
      </c>
      <c r="C7" s="265"/>
      <c r="D7" s="12" t="s">
        <v>166</v>
      </c>
      <c r="E7" s="266"/>
      <c r="F7" s="267">
        <f>GX7-F10-F11</f>
        <v>348641398.3204</v>
      </c>
      <c r="G7" s="268">
        <f t="shared" ref="G7:G12" si="17">F7/F$24*100</f>
        <v>16.593059943029129</v>
      </c>
      <c r="H7" s="267">
        <f>HB7-H10-H11</f>
        <v>350452704.21775883</v>
      </c>
      <c r="I7" s="269">
        <f t="shared" ref="I7:I12" si="18">H7/H$24*100</f>
        <v>16.606608739812152</v>
      </c>
      <c r="J7" s="270">
        <f>H7-F7</f>
        <v>1811305.8973588347</v>
      </c>
      <c r="K7" s="267">
        <f>K8+K9</f>
        <v>365779088</v>
      </c>
      <c r="L7" s="269">
        <f t="shared" ref="L7:L12" si="19">K7/K$24*100</f>
        <v>16.824924825739803</v>
      </c>
      <c r="M7" s="270">
        <f>K7-H7</f>
        <v>15326383.782241166</v>
      </c>
      <c r="N7" s="267">
        <f>N8+N9</f>
        <v>372625520.73584002</v>
      </c>
      <c r="O7" s="269">
        <f t="shared" ref="O7:O12" si="20">N7/N$24*100</f>
        <v>16.661513736345533</v>
      </c>
      <c r="P7" s="270">
        <f>N7-K7</f>
        <v>6846432.7358400226</v>
      </c>
      <c r="Q7" s="267">
        <f>N7-F7</f>
        <v>23984122.415440023</v>
      </c>
      <c r="R7" s="271">
        <f>O7/G7-1</f>
        <v>4.125447238269242E-3</v>
      </c>
      <c r="V7" s="174">
        <f>V6+1</f>
        <v>1</v>
      </c>
      <c r="W7" s="272" t="s">
        <v>174</v>
      </c>
      <c r="X7" s="273">
        <v>-542135.51718341734</v>
      </c>
      <c r="Y7" s="273">
        <v>3440425.3052438558</v>
      </c>
      <c r="Z7" s="273">
        <v>10108545.182239551</v>
      </c>
      <c r="AA7" s="273">
        <f>SUM(X7:Z7)</f>
        <v>13006834.970299989</v>
      </c>
      <c r="AB7" s="273"/>
      <c r="AF7" s="174">
        <v>1</v>
      </c>
      <c r="AG7" s="274" t="s">
        <v>78</v>
      </c>
      <c r="AH7" s="19">
        <f>CS9</f>
        <v>1831916.9046912384</v>
      </c>
      <c r="AI7" s="19">
        <f>DF9</f>
        <v>128460.41571007478</v>
      </c>
      <c r="AJ7" s="275">
        <f>DP9</f>
        <v>559486.36967116699</v>
      </c>
      <c r="AN7" s="264">
        <v>2</v>
      </c>
      <c r="AO7" s="18"/>
      <c r="AQ7" s="12" t="s">
        <v>166</v>
      </c>
      <c r="AR7" s="266"/>
      <c r="AS7" s="276">
        <v>120302111.8284</v>
      </c>
      <c r="AT7" s="277">
        <v>11.731293175407233</v>
      </c>
      <c r="AU7" s="278"/>
      <c r="AV7" s="276">
        <v>126126278.56186666</v>
      </c>
      <c r="AW7" s="277">
        <v>11.687249674641077</v>
      </c>
      <c r="AX7" s="279">
        <f>AW7/AT7-1</f>
        <v>-3.754360248918287E-3</v>
      </c>
      <c r="AY7" s="278"/>
      <c r="AZ7" s="276">
        <v>150728360.25</v>
      </c>
      <c r="BA7" s="277">
        <v>11.683129983994691</v>
      </c>
      <c r="BB7" s="279">
        <f>BA7/AW7-1</f>
        <v>-3.5249445002660806E-4</v>
      </c>
      <c r="BC7" s="278"/>
      <c r="BD7" s="276">
        <v>171227908</v>
      </c>
      <c r="BE7" s="277">
        <v>11.643318740549148</v>
      </c>
      <c r="BF7" s="279">
        <f>BE7/BA7-1</f>
        <v>-3.407583712590978E-3</v>
      </c>
      <c r="BG7" s="278"/>
      <c r="BH7" s="276">
        <v>176109569.11769998</v>
      </c>
      <c r="BI7" s="277">
        <v>11.588889837145976</v>
      </c>
      <c r="BJ7" s="279">
        <f>BI7/BE7-1</f>
        <v>-4.6746898041721829E-3</v>
      </c>
      <c r="BK7" s="278"/>
      <c r="BL7" s="276">
        <v>240705114.20000002</v>
      </c>
      <c r="BM7" s="277">
        <v>14.309535452395124</v>
      </c>
      <c r="BN7" s="279">
        <f>BM7/BI7-1</f>
        <v>0.23476326494438138</v>
      </c>
      <c r="BO7" s="278"/>
      <c r="BP7" s="276">
        <v>290609169.1400001</v>
      </c>
      <c r="BQ7" s="277">
        <v>15.66802926667919</v>
      </c>
      <c r="BR7" s="279">
        <f>BQ7/BM7-1</f>
        <v>9.4936262522532289E-2</v>
      </c>
      <c r="BS7" s="278"/>
      <c r="BT7" s="12">
        <v>313797305.58539999</v>
      </c>
      <c r="BU7" s="12">
        <v>15.993295780429609</v>
      </c>
      <c r="BV7" s="12">
        <f>BU7/BQ7-1</f>
        <v>2.0759886786920534E-2</v>
      </c>
      <c r="BW7" s="280">
        <v>311488574.40979999</v>
      </c>
      <c r="BX7" s="281">
        <v>16.091667659507319</v>
      </c>
      <c r="BY7" s="282">
        <f>BX7/BU7-1</f>
        <v>6.15081972022824E-3</v>
      </c>
      <c r="BZ7" s="282">
        <v>328676461.76159996</v>
      </c>
      <c r="CA7" s="282">
        <v>16.112403825565277</v>
      </c>
      <c r="CB7" s="282">
        <f>CA7/BX7-1</f>
        <v>1.2886275367305355E-3</v>
      </c>
      <c r="CC7" s="282">
        <v>326375296.65850008</v>
      </c>
      <c r="CD7" s="282">
        <v>15.703284067284784</v>
      </c>
      <c r="CE7" s="283">
        <f>CD7/CA7-1</f>
        <v>-2.5391602811701497E-2</v>
      </c>
      <c r="CF7" s="267">
        <v>336825698.93769997</v>
      </c>
      <c r="CG7" s="282">
        <v>16.189074473213005</v>
      </c>
      <c r="CH7" s="283">
        <f>CG7/CD7-1</f>
        <v>3.0935593080194224E-2</v>
      </c>
      <c r="CI7" s="267">
        <f t="shared" ref="CI7:CJ10" si="21">F7</f>
        <v>348641398.3204</v>
      </c>
      <c r="CJ7" s="282">
        <f t="shared" si="21"/>
        <v>16.593059943029129</v>
      </c>
      <c r="CK7" s="283">
        <f>CJ7/CG7-1</f>
        <v>2.4954204175450023E-2</v>
      </c>
      <c r="CL7" s="284">
        <f>CI7/AS7-1</f>
        <v>1.8980488623317369</v>
      </c>
      <c r="CM7" s="283">
        <f>(CL7+1)^(1/(2023-2004))-1</f>
        <v>5.759978248364872E-2</v>
      </c>
      <c r="CQ7" s="264">
        <v>2</v>
      </c>
      <c r="CR7" s="285" t="s">
        <v>70</v>
      </c>
      <c r="CS7" s="286">
        <v>529589.40201135306</v>
      </c>
      <c r="CT7" s="273">
        <v>9901211.0850000028</v>
      </c>
      <c r="CU7" s="273">
        <v>1672166.6469999999</v>
      </c>
      <c r="CV7" s="270">
        <f>CU7+CT7</f>
        <v>11573377.732000003</v>
      </c>
      <c r="CW7" s="286">
        <v>529589.40201135306</v>
      </c>
      <c r="CX7" s="273">
        <v>9778155.7879999988</v>
      </c>
      <c r="CY7" s="273">
        <v>1394338.6123128538</v>
      </c>
      <c r="CZ7" s="273">
        <f>CY7+CX7</f>
        <v>11172494.400312852</v>
      </c>
      <c r="DA7" s="216"/>
      <c r="DB7" s="20"/>
      <c r="DD7" s="264">
        <v>2</v>
      </c>
      <c r="DE7" s="287" t="s">
        <v>70</v>
      </c>
      <c r="DF7" s="19">
        <v>39737.955318205924</v>
      </c>
      <c r="DG7" s="288">
        <v>832474.23800000024</v>
      </c>
      <c r="DH7" s="19">
        <v>39737.955318205917</v>
      </c>
      <c r="DI7" s="273">
        <v>832474.2379999999</v>
      </c>
      <c r="DJ7" s="273">
        <v>654394.89373176731</v>
      </c>
      <c r="DL7" s="20"/>
      <c r="DN7" s="264">
        <v>2</v>
      </c>
      <c r="DO7" s="287" t="s">
        <v>70</v>
      </c>
      <c r="DP7" s="19">
        <v>192549.88935714285</v>
      </c>
      <c r="DQ7" s="289">
        <v>5551642.0630000001</v>
      </c>
      <c r="DR7" s="290">
        <v>63492.13</v>
      </c>
      <c r="DS7" s="288">
        <v>5615134.1930000009</v>
      </c>
      <c r="DT7" s="19">
        <v>192549.88935714285</v>
      </c>
      <c r="DU7" s="289">
        <v>5551642.0630000001</v>
      </c>
      <c r="DV7" s="290">
        <v>464375.4616871457</v>
      </c>
      <c r="DW7" s="289">
        <v>6016017.5246871449</v>
      </c>
      <c r="EA7" s="264">
        <v>2</v>
      </c>
      <c r="EB7" s="291" t="s">
        <v>175</v>
      </c>
      <c r="EC7" s="273">
        <v>266920.19</v>
      </c>
      <c r="ED7" s="273">
        <v>267351.44299999997</v>
      </c>
      <c r="EE7" s="273">
        <v>326391.17</v>
      </c>
      <c r="EF7" s="273">
        <v>860662.80299999984</v>
      </c>
      <c r="EG7" s="267"/>
      <c r="EH7" s="273"/>
      <c r="EI7" s="273"/>
      <c r="EJ7" s="273"/>
      <c r="EN7" s="264">
        <v>2</v>
      </c>
      <c r="EO7" s="266" t="s">
        <v>176</v>
      </c>
      <c r="EP7" s="273">
        <v>179351.114</v>
      </c>
      <c r="EQ7" s="273">
        <v>1016780.1000000001</v>
      </c>
      <c r="ER7" s="273">
        <v>3927709.4879999985</v>
      </c>
      <c r="ES7" s="270">
        <f>SUM(EP7:ER7)</f>
        <v>5123840.7019999987</v>
      </c>
      <c r="ET7" s="273">
        <v>179351.114</v>
      </c>
      <c r="EU7" s="273">
        <v>1016780.1000000001</v>
      </c>
      <c r="EV7" s="273">
        <v>3937203.1546666655</v>
      </c>
      <c r="EW7" s="273">
        <f>SUM(ET7:EV7)</f>
        <v>5133334.3686666656</v>
      </c>
      <c r="EX7" s="16"/>
      <c r="EY7" s="20"/>
      <c r="FA7" s="264">
        <v>2</v>
      </c>
      <c r="FB7" s="266" t="s">
        <v>176</v>
      </c>
      <c r="FC7" s="273">
        <v>39997.439999999995</v>
      </c>
      <c r="FD7" s="273">
        <v>153955.44</v>
      </c>
      <c r="FE7" s="273">
        <v>687939.62000000011</v>
      </c>
      <c r="FF7" s="270">
        <f>SUM(FC7:FE7)</f>
        <v>881892.50000000012</v>
      </c>
      <c r="FG7" s="273">
        <v>24771.892000000007</v>
      </c>
      <c r="FH7" s="273">
        <v>146710.14999999997</v>
      </c>
      <c r="FI7" s="273">
        <v>679548.74145833333</v>
      </c>
      <c r="FJ7" s="270">
        <f>SUM(FG7:FI7)</f>
        <v>851030.78345833323</v>
      </c>
      <c r="FK7" s="273">
        <f>(FJ7/$FJ$9)*$FK$9</f>
        <v>524239.00749320583</v>
      </c>
      <c r="FL7" s="273">
        <f>(FJ7/$FJ$9)*$FL$9</f>
        <v>256886.02952295876</v>
      </c>
      <c r="FM7" s="273">
        <f>SUM(FK7:FL7)</f>
        <v>781125.03701616463</v>
      </c>
      <c r="FN7" s="16"/>
      <c r="FO7" s="20"/>
      <c r="FQ7" s="264">
        <v>2</v>
      </c>
      <c r="FR7" s="292"/>
      <c r="FS7" s="293" t="s">
        <v>177</v>
      </c>
      <c r="FT7" s="273">
        <v>175426.73</v>
      </c>
      <c r="FU7" s="273">
        <v>279487.5</v>
      </c>
      <c r="FV7" s="273">
        <v>576846.07880000002</v>
      </c>
      <c r="FW7" s="270">
        <f t="shared" ref="FW7:FW20" si="22">FT7+FV7+FU7</f>
        <v>1031760.3088</v>
      </c>
      <c r="FX7" s="273">
        <v>176935.71293333336</v>
      </c>
      <c r="FY7" s="273">
        <v>279487.5</v>
      </c>
      <c r="FZ7" s="273">
        <v>578349.74546666665</v>
      </c>
      <c r="GA7" s="273">
        <v>1034772.9584</v>
      </c>
      <c r="GB7" s="273">
        <v>1034772.9584</v>
      </c>
      <c r="GC7" s="225"/>
      <c r="GD7" s="21"/>
      <c r="GF7" s="264">
        <v>2</v>
      </c>
      <c r="GG7" s="266" t="s">
        <v>178</v>
      </c>
      <c r="GH7" s="273">
        <v>73808.532999999996</v>
      </c>
      <c r="GI7" s="273">
        <v>139595.59</v>
      </c>
      <c r="GJ7" s="273">
        <v>148254.01999999999</v>
      </c>
      <c r="GK7" s="270">
        <f t="shared" si="0"/>
        <v>361658.14299999998</v>
      </c>
      <c r="GL7" s="273">
        <v>0</v>
      </c>
      <c r="GM7" s="273">
        <v>0</v>
      </c>
      <c r="GN7" s="273">
        <v>0</v>
      </c>
      <c r="GO7" s="273">
        <v>0</v>
      </c>
      <c r="GP7" s="225"/>
      <c r="GQ7" s="226"/>
      <c r="GS7" s="264">
        <v>2</v>
      </c>
      <c r="GT7" s="294" t="s">
        <v>166</v>
      </c>
      <c r="GU7" s="273">
        <v>44711111.447400004</v>
      </c>
      <c r="GV7" s="273">
        <v>101095135.1485</v>
      </c>
      <c r="GW7" s="273">
        <v>209888216.78899997</v>
      </c>
      <c r="GX7" s="270">
        <f>SUM(GU7:GW7)</f>
        <v>355694463.38489997</v>
      </c>
      <c r="GY7" s="273">
        <v>44923488.726039998</v>
      </c>
      <c r="GZ7" s="273">
        <v>100305961.55849999</v>
      </c>
      <c r="HA7" s="273">
        <v>210144190.85569999</v>
      </c>
      <c r="HB7" s="273">
        <f>SUM(GY7:HA7)</f>
        <v>355373641.14023995</v>
      </c>
      <c r="HG7" s="264">
        <v>2</v>
      </c>
      <c r="HH7" s="248">
        <v>2</v>
      </c>
      <c r="HI7" s="248">
        <v>11</v>
      </c>
      <c r="HJ7" s="248">
        <v>11</v>
      </c>
      <c r="HK7" s="275">
        <v>15894309</v>
      </c>
      <c r="HL7" s="275">
        <v>15979886</v>
      </c>
      <c r="HM7" s="269">
        <f t="shared" si="1"/>
        <v>1</v>
      </c>
      <c r="HN7" s="269">
        <f t="shared" si="2"/>
        <v>1.0053841283694687</v>
      </c>
      <c r="HO7" s="271">
        <v>1</v>
      </c>
      <c r="HP7" s="271">
        <v>0</v>
      </c>
      <c r="HQ7" s="271">
        <v>0</v>
      </c>
      <c r="HS7" s="132"/>
      <c r="HU7" s="295">
        <v>2</v>
      </c>
      <c r="HV7" s="296">
        <v>2</v>
      </c>
      <c r="HW7" s="297">
        <f t="shared" si="3"/>
        <v>1.0053841283694687</v>
      </c>
      <c r="HX7" s="273">
        <v>771.69</v>
      </c>
      <c r="HY7" s="270">
        <f t="shared" ref="HY7:HY25" si="23">HW7*HX7</f>
        <v>775.84487802143531</v>
      </c>
      <c r="HZ7" s="273">
        <v>1742052</v>
      </c>
      <c r="IA7" s="270">
        <v>1750768</v>
      </c>
      <c r="IB7" s="273">
        <v>610532.95538920618</v>
      </c>
      <c r="IC7" s="270">
        <v>806495</v>
      </c>
      <c r="ID7" s="273">
        <v>233603.08121079375</v>
      </c>
      <c r="IE7" s="273">
        <v>234554.77408678891</v>
      </c>
      <c r="IF7" s="273">
        <f t="shared" ref="IF7:IG25" si="24">SUM(HX7,IB7,ID7)</f>
        <v>844907.72659999994</v>
      </c>
      <c r="IG7" s="273">
        <f t="shared" si="24"/>
        <v>1041825.6189648103</v>
      </c>
      <c r="IH7" s="239"/>
      <c r="II7" s="240"/>
      <c r="IJ7" s="239"/>
      <c r="IK7" s="298">
        <v>2</v>
      </c>
      <c r="IL7" s="296">
        <v>2</v>
      </c>
      <c r="IM7" s="299">
        <f t="shared" si="4"/>
        <v>1</v>
      </c>
      <c r="IN7" s="300">
        <f t="shared" si="4"/>
        <v>1.0053841283694687</v>
      </c>
      <c r="IO7" s="273">
        <v>424544.63484551047</v>
      </c>
      <c r="IP7" s="270">
        <f>IO7*$IN7</f>
        <v>426830.43765808787</v>
      </c>
      <c r="IQ7" s="273">
        <v>57112.352773098697</v>
      </c>
      <c r="IR7" s="270">
        <f t="shared" ref="IR7:IR25" si="25">IQ7*$IN7</f>
        <v>57419.853011911437</v>
      </c>
      <c r="IS7" s="273">
        <v>183511.58715448945</v>
      </c>
      <c r="IT7" s="270">
        <f t="shared" ref="IT7:IT25" si="26">IS7*IM7</f>
        <v>183511.58715448945</v>
      </c>
      <c r="IU7" s="273">
        <v>440976.30000000005</v>
      </c>
      <c r="IV7" s="270">
        <v>446976.30000000005</v>
      </c>
      <c r="IW7" s="273">
        <v>44392.603345879899</v>
      </c>
      <c r="IX7" s="270">
        <f t="shared" ref="IX7:IX24" si="27">IW7*$IN7</f>
        <v>44631.618820949021</v>
      </c>
      <c r="IY7" s="273">
        <v>27621.772999999994</v>
      </c>
      <c r="IZ7" s="270">
        <f t="shared" ref="IZ7:IZ25" si="28">IY7*$IN7</f>
        <v>27770.492171624319</v>
      </c>
      <c r="JA7" s="273">
        <v>70254.61</v>
      </c>
      <c r="JB7" s="270">
        <f t="shared" ref="JB7:JB25" si="29">JA7*$IN7</f>
        <v>70632.869838786952</v>
      </c>
      <c r="JC7" s="273">
        <v>123746.92369999998</v>
      </c>
      <c r="JD7" s="270">
        <f t="shared" ref="JD7:JD25" si="30">JC7*$IN7</f>
        <v>124413.19302252763</v>
      </c>
      <c r="JE7" s="273">
        <f t="shared" ref="JE7:JF26" si="31">IO7+IQ7+IS7+IU7+IW7+JA7+JC7+IY7</f>
        <v>1372160.7848189785</v>
      </c>
      <c r="JF7" s="273">
        <f t="shared" si="31"/>
        <v>1382186.3516783768</v>
      </c>
      <c r="JG7" s="301">
        <f t="shared" si="5"/>
        <v>8.6495382487608286</v>
      </c>
      <c r="JK7" s="264">
        <v>2</v>
      </c>
      <c r="JL7" s="248">
        <v>2</v>
      </c>
      <c r="JM7" s="12">
        <f t="shared" si="6"/>
        <v>11</v>
      </c>
      <c r="JN7" s="12">
        <f t="shared" ref="JN7:JN25" si="32">JM7</f>
        <v>11</v>
      </c>
      <c r="JO7" s="302">
        <f t="shared" si="7"/>
        <v>15979886</v>
      </c>
      <c r="JP7" s="302">
        <f t="shared" si="8"/>
        <v>16438647.276248934</v>
      </c>
      <c r="JQ7" s="303">
        <f t="shared" ref="JQ7:JQ26" si="33">JN7/JM7</f>
        <v>1</v>
      </c>
      <c r="JR7" s="303">
        <f t="shared" ref="JR7:JR26" si="34">JP7/JO7</f>
        <v>1.0287086701525239</v>
      </c>
      <c r="JS7" s="303">
        <f t="shared" ref="JS7:JS25" si="35">LJ8/LI8</f>
        <v>1.0451359176252719</v>
      </c>
      <c r="JT7" s="248" t="s">
        <v>241</v>
      </c>
      <c r="JU7" s="248"/>
      <c r="JV7" s="249"/>
      <c r="JW7" s="248"/>
      <c r="JX7" s="264">
        <v>2</v>
      </c>
      <c r="JY7" s="248">
        <v>2</v>
      </c>
      <c r="JZ7" s="304" t="str">
        <f t="shared" si="9"/>
        <v>Q3</v>
      </c>
      <c r="KA7" s="305">
        <f t="shared" si="10"/>
        <v>1.0451359176252719</v>
      </c>
      <c r="KB7" s="289">
        <f t="shared" ref="KB7:KB25" si="36">HY7</f>
        <v>775.84487802143531</v>
      </c>
      <c r="KC7" s="289">
        <f t="shared" ref="KC7:KC25" si="37">KB7*JS7</f>
        <v>810.86334852579989</v>
      </c>
      <c r="KD7" s="289">
        <f t="shared" si="11"/>
        <v>1750768</v>
      </c>
      <c r="KE7" s="289">
        <f t="shared" ref="KE7:KE25" si="38">HL7/$HL$26*$KE$26</f>
        <v>1811387.2358782527</v>
      </c>
      <c r="KF7" s="289">
        <f t="shared" si="12"/>
        <v>806495</v>
      </c>
      <c r="KG7" s="289">
        <f t="shared" si="13"/>
        <v>927540.2381233545</v>
      </c>
      <c r="KH7" s="289">
        <f t="shared" ref="KH7:KH25" si="39">IE7</f>
        <v>234554.77408678891</v>
      </c>
      <c r="KI7" s="289">
        <f t="shared" ref="KI7:KI25" si="40">HL7/$HL$26*$KI$26</f>
        <v>34902.154376111619</v>
      </c>
      <c r="KJ7" s="289">
        <f t="shared" ref="KJ7:KK25" si="41">SUM(KB7,KF7,KH7)</f>
        <v>1041825.6189648103</v>
      </c>
      <c r="KK7" s="289">
        <f t="shared" si="41"/>
        <v>963253.25584799191</v>
      </c>
      <c r="KL7" s="252"/>
      <c r="KM7" s="249"/>
      <c r="KN7" s="248"/>
      <c r="KO7" s="306">
        <f>KO6+1</f>
        <v>2</v>
      </c>
      <c r="KP7" s="307">
        <v>1</v>
      </c>
      <c r="KQ7" s="308">
        <f>JQ6</f>
        <v>0.94444444444444442</v>
      </c>
      <c r="KR7" s="308">
        <f>JR6</f>
        <v>1.0287086701525239</v>
      </c>
      <c r="KS7" s="245">
        <v>1.7</v>
      </c>
      <c r="KT7" s="215">
        <f>IP6*KT$6/KS7*KR7</f>
        <v>428105.71781661891</v>
      </c>
      <c r="KU7" s="245">
        <v>1.7</v>
      </c>
      <c r="KV7" s="215">
        <f t="shared" ref="KV7:KV26" si="42">IR6*KV$6/KU7*KR7</f>
        <v>3503.5388071373859</v>
      </c>
      <c r="KW7" s="245">
        <v>1.7</v>
      </c>
      <c r="KX7" s="215">
        <f t="shared" ref="KX7:KX26" si="43">IT6*KX$6/KW7*KQ7</f>
        <v>228115.68445257167</v>
      </c>
      <c r="KY7" s="245">
        <v>1.7150382799999999</v>
      </c>
      <c r="KZ7" s="215">
        <f>IV6*KZ$6/KY7*KQ7</f>
        <v>742533.8985745809</v>
      </c>
      <c r="LA7" s="245">
        <v>1.7</v>
      </c>
      <c r="LB7" s="215">
        <f t="shared" ref="LB7:LB26" si="44">IX6*LB$6/LA7*KR7</f>
        <v>15816.55392770069</v>
      </c>
      <c r="LC7" s="245">
        <v>1.7</v>
      </c>
      <c r="LD7" s="215">
        <f t="shared" ref="LD7:LD26" si="45">IZ6*LD$6/LC7*KR7</f>
        <v>35402.673001778145</v>
      </c>
      <c r="LE7" s="245">
        <v>1.7</v>
      </c>
      <c r="LF7" s="215">
        <f t="shared" ref="LF7:LF26" si="46">JB6*LF$6/LE7*$KR7</f>
        <v>5958.6221037363366</v>
      </c>
      <c r="LG7" s="245">
        <v>1.7</v>
      </c>
      <c r="LH7" s="309">
        <f t="shared" ref="LH7:LH26" si="47">JD6*LH$6/LG7*$KR7</f>
        <v>165170.8128436176</v>
      </c>
      <c r="LI7" s="310">
        <f t="shared" ref="LI7:LI26" si="48">JF6</f>
        <v>1619125.7371579208</v>
      </c>
      <c r="LJ7" s="310">
        <f>KT7+KV7+KX7+KZ7+LB7+LF7+LH7+LD7</f>
        <v>1624607.5015277416</v>
      </c>
      <c r="LK7" s="16"/>
      <c r="LL7" s="261"/>
      <c r="LN7" s="264">
        <v>2</v>
      </c>
      <c r="LO7" s="311">
        <v>2</v>
      </c>
      <c r="LP7" s="273">
        <f t="shared" si="14"/>
        <v>844907.72659999994</v>
      </c>
      <c r="LQ7" s="273">
        <f t="shared" si="14"/>
        <v>1041825.6189648103</v>
      </c>
      <c r="LR7" s="270">
        <f t="shared" si="15"/>
        <v>963253.25584799191</v>
      </c>
      <c r="LS7" s="273">
        <f t="shared" si="16"/>
        <v>1372160.7848189785</v>
      </c>
      <c r="LT7" s="273">
        <f t="shared" si="16"/>
        <v>1382186.3516783768</v>
      </c>
      <c r="LU7" s="270">
        <f t="shared" ref="LU7:LU25" si="49">LJ8</f>
        <v>1444572.6009905071</v>
      </c>
      <c r="LV7" s="267">
        <f t="shared" ref="LV7:LX26" si="50">LP7-LS7</f>
        <v>-527253.05821897858</v>
      </c>
      <c r="LW7" s="273">
        <f t="shared" si="50"/>
        <v>-340360.73271356651</v>
      </c>
      <c r="LX7" s="273">
        <f t="shared" si="50"/>
        <v>-481319.34514251514</v>
      </c>
      <c r="LZ7" s="263"/>
      <c r="MA7" s="8"/>
      <c r="MB7" s="264">
        <f>MB6+1</f>
        <v>2</v>
      </c>
      <c r="MC7" s="274" t="s">
        <v>179</v>
      </c>
      <c r="MD7" s="273">
        <f>'Phase I Schedules'!MJ21</f>
        <v>118468525.20066084</v>
      </c>
      <c r="ME7" s="8"/>
      <c r="MF7" s="263"/>
      <c r="MG7" s="8"/>
      <c r="MH7" s="207">
        <v>1</v>
      </c>
      <c r="MI7" s="209" t="s">
        <v>166</v>
      </c>
      <c r="MJ7" s="214">
        <f>N7</f>
        <v>372625520.73584002</v>
      </c>
      <c r="MK7" s="312">
        <f t="shared" ref="MK7:MK12" si="51">MJ7/$MJ$34*100</f>
        <v>16.661513736345533</v>
      </c>
      <c r="ML7" s="29"/>
      <c r="MM7" s="313">
        <f>MM8+MM9</f>
        <v>382844280.13370645</v>
      </c>
      <c r="MN7" s="312">
        <f t="shared" ref="MN7:MN12" si="52">MM7/$MN$34*100</f>
        <v>17.118433594490895</v>
      </c>
      <c r="MP7" s="263"/>
      <c r="MQ7" s="8"/>
      <c r="MR7" s="207">
        <v>1</v>
      </c>
      <c r="MS7" s="314" t="str">
        <f t="shared" ref="MS7:MS21" si="53">MI7</f>
        <v>Revenue</v>
      </c>
      <c r="MT7" s="315">
        <v>350950444.68369532</v>
      </c>
      <c r="MU7" s="214">
        <f>MJ7</f>
        <v>372625520.73584002</v>
      </c>
      <c r="MV7" s="214">
        <f>MU7-MT7</f>
        <v>21675076.052144706</v>
      </c>
      <c r="MW7" s="316">
        <f>MV7/MT7</f>
        <v>6.1761073053148638E-2</v>
      </c>
      <c r="MY7" s="263"/>
      <c r="MZ7" s="8"/>
    </row>
    <row r="8" spans="1:417" s="29" customFormat="1" x14ac:dyDescent="0.3">
      <c r="B8" s="190">
        <f>B7+1</f>
        <v>3</v>
      </c>
      <c r="C8" s="317"/>
      <c r="E8" s="210" t="s">
        <v>180</v>
      </c>
      <c r="F8" s="313">
        <f>GX8</f>
        <v>233124020.44999999</v>
      </c>
      <c r="G8" s="318">
        <f t="shared" si="17"/>
        <v>11.095185093113646</v>
      </c>
      <c r="H8" s="313">
        <f>HB8</f>
        <v>234540682.18333331</v>
      </c>
      <c r="I8" s="234">
        <f t="shared" si="18"/>
        <v>11.113982844792316</v>
      </c>
      <c r="J8" s="215">
        <f t="shared" ref="J8:J22" si="54">H8-F8</f>
        <v>1416661.7333333194</v>
      </c>
      <c r="K8" s="313">
        <f>IA26</f>
        <v>247914418</v>
      </c>
      <c r="L8" s="234">
        <f t="shared" si="19"/>
        <v>11.403444272535982</v>
      </c>
      <c r="M8" s="215">
        <f t="shared" ref="M8:M22" si="55">K8-H8</f>
        <v>13373735.816666692</v>
      </c>
      <c r="N8" s="313">
        <f>KE26</f>
        <v>246435554.94999999</v>
      </c>
      <c r="O8" s="234">
        <f t="shared" si="20"/>
        <v>11.019077211391966</v>
      </c>
      <c r="P8" s="215">
        <f t="shared" ref="P8:P22" si="56">N8-K8</f>
        <v>-1478863.0500000119</v>
      </c>
      <c r="Q8" s="313">
        <f t="shared" ref="Q8:Q22" si="57">N8-F8</f>
        <v>13311534.5</v>
      </c>
      <c r="R8" s="235">
        <f t="shared" ref="R8:R22" si="58">O8/G8-1</f>
        <v>-6.8595414211626293E-3</v>
      </c>
      <c r="S8" s="12"/>
      <c r="T8" s="13"/>
      <c r="U8" s="12"/>
      <c r="V8" s="319">
        <f t="shared" ref="V8:V20" si="59">V7+1</f>
        <v>2</v>
      </c>
      <c r="W8" s="320" t="s">
        <v>181</v>
      </c>
      <c r="X8" s="321">
        <f>X7/F$24*100</f>
        <v>-2.5802119820557121E-2</v>
      </c>
      <c r="Y8" s="234">
        <f>Y7/F$24*100</f>
        <v>0.16374183787251423</v>
      </c>
      <c r="Z8" s="234">
        <f>Z7/F$24*100</f>
        <v>0.48110091616708828</v>
      </c>
      <c r="AA8" s="234">
        <f>AA7/F$24*100</f>
        <v>0.61904063421904543</v>
      </c>
      <c r="AB8" s="269"/>
      <c r="AC8" s="276"/>
      <c r="AD8" s="13"/>
      <c r="AE8" s="12"/>
      <c r="AF8" s="319">
        <f>AF7+1</f>
        <v>2</v>
      </c>
      <c r="AG8" s="322" t="s">
        <v>182</v>
      </c>
      <c r="AH8" s="323">
        <f>AH7*3600/F$24</f>
        <v>3.1387432979522134</v>
      </c>
      <c r="AI8" s="323">
        <f>AI7*3600/F$24</f>
        <v>0.22009964962363335</v>
      </c>
      <c r="AJ8" s="323">
        <f>AJ7*3600/F$24</f>
        <v>0.95860466629460483</v>
      </c>
      <c r="AK8" s="12"/>
      <c r="AL8" s="13"/>
      <c r="AM8" s="12"/>
      <c r="AN8" s="207">
        <v>3</v>
      </c>
      <c r="AO8" s="324"/>
      <c r="AQ8" s="325" t="s">
        <v>180</v>
      </c>
      <c r="AR8" s="210"/>
      <c r="AS8" s="326">
        <v>79503570.349999994</v>
      </c>
      <c r="AT8" s="327">
        <v>7.7528122997362363</v>
      </c>
      <c r="AU8" s="328"/>
      <c r="AV8" s="326">
        <v>82983136.416666657</v>
      </c>
      <c r="AW8" s="327">
        <v>7.689473162491363</v>
      </c>
      <c r="AX8" s="316">
        <f>AW8/AT8-1</f>
        <v>-8.1698272570107644E-3</v>
      </c>
      <c r="AY8" s="328"/>
      <c r="AZ8" s="326">
        <v>98672863.5</v>
      </c>
      <c r="BA8" s="327">
        <v>7.6482480685877787</v>
      </c>
      <c r="BB8" s="316">
        <f>BA8/AW8-1</f>
        <v>-5.3612377639442599E-3</v>
      </c>
      <c r="BC8" s="328"/>
      <c r="BD8" s="326">
        <v>111397202</v>
      </c>
      <c r="BE8" s="327">
        <v>7.5748932801967008</v>
      </c>
      <c r="BF8" s="316">
        <f>BE8/BA8-1</f>
        <v>-9.5910576818701854E-3</v>
      </c>
      <c r="BG8" s="328"/>
      <c r="BH8" s="326">
        <v>116322907.89166664</v>
      </c>
      <c r="BI8" s="327">
        <v>7.6546287169214136</v>
      </c>
      <c r="BJ8" s="316">
        <f>BI8/BE8-1</f>
        <v>1.0526278559351843E-2</v>
      </c>
      <c r="BK8" s="328"/>
      <c r="BL8" s="326">
        <v>174683793.20000002</v>
      </c>
      <c r="BM8" s="327">
        <v>10.384673130282241</v>
      </c>
      <c r="BN8" s="316">
        <f>BM8/BI8-1</f>
        <v>0.35665275408143038</v>
      </c>
      <c r="BO8" s="328"/>
      <c r="BP8" s="326">
        <v>208646041.65000004</v>
      </c>
      <c r="BQ8" s="327">
        <v>11.249033527135891</v>
      </c>
      <c r="BR8" s="316">
        <f>BQ8/BM8-1</f>
        <v>8.3234242042065976E-2</v>
      </c>
      <c r="BS8" s="328"/>
      <c r="BT8" s="29">
        <v>219246568.60000002</v>
      </c>
      <c r="BU8" s="29">
        <v>11.174331831570692</v>
      </c>
      <c r="BV8" s="29">
        <f>BU8/BQ8-1</f>
        <v>-6.6407212126265991E-3</v>
      </c>
      <c r="BW8" s="329">
        <v>215103150.44999999</v>
      </c>
      <c r="BX8" s="330">
        <v>11.112344701929782</v>
      </c>
      <c r="BY8" s="331">
        <f t="shared" ref="BY8:BY20" si="60">BX8/BU8-1</f>
        <v>-5.5472784033295808E-3</v>
      </c>
      <c r="BZ8" s="331">
        <v>224292117.40000001</v>
      </c>
      <c r="CA8" s="331">
        <v>10.99526613822796</v>
      </c>
      <c r="CB8" s="331">
        <f t="shared" ref="CB8:CB20" si="61">CA8/BX8-1</f>
        <v>-1.0535901003996928E-2</v>
      </c>
      <c r="CC8" s="331">
        <v>228950330.75</v>
      </c>
      <c r="CD8" s="331">
        <v>11.015760438596976</v>
      </c>
      <c r="CE8" s="332">
        <f>CD8/CA8-1</f>
        <v>1.8639203554848827E-3</v>
      </c>
      <c r="CF8" s="313">
        <v>231071802</v>
      </c>
      <c r="CG8" s="331">
        <v>11.106155566619766</v>
      </c>
      <c r="CH8" s="332">
        <f>CG8/CD8-1</f>
        <v>8.2059816502602079E-3</v>
      </c>
      <c r="CI8" s="313">
        <f t="shared" si="21"/>
        <v>233124020.44999999</v>
      </c>
      <c r="CJ8" s="331">
        <f t="shared" si="21"/>
        <v>11.095185093113646</v>
      </c>
      <c r="CK8" s="332">
        <f>CJ8/CG8-1</f>
        <v>-9.8778316585912407E-4</v>
      </c>
      <c r="CL8" s="333">
        <f t="shared" ref="CL8:CL18" si="62">CI8/AS8-1</f>
        <v>1.9322459283742091</v>
      </c>
      <c r="CM8" s="332">
        <f>(CL8+1)^(1/(2023-2004))-1</f>
        <v>5.8252965883032637E-2</v>
      </c>
      <c r="CN8" s="12"/>
      <c r="CO8" s="13"/>
      <c r="CP8" s="12"/>
      <c r="CQ8" s="334">
        <v>3</v>
      </c>
      <c r="CR8" s="335" t="s">
        <v>71</v>
      </c>
      <c r="CS8" s="336">
        <v>1081887.7179677642</v>
      </c>
      <c r="CT8" s="337">
        <v>20542902.44315001</v>
      </c>
      <c r="CU8" s="337">
        <v>3092676.4119999991</v>
      </c>
      <c r="CV8" s="338">
        <f>CU8+CT8</f>
        <v>23635578.85515001</v>
      </c>
      <c r="CW8" s="336">
        <v>1091884.7179677642</v>
      </c>
      <c r="CX8" s="337">
        <v>20581156.977650005</v>
      </c>
      <c r="CY8" s="337">
        <v>2501744.4082222241</v>
      </c>
      <c r="CZ8" s="337">
        <f>CY8+CX8</f>
        <v>23082901.38587223</v>
      </c>
      <c r="DA8" s="216"/>
      <c r="DB8" s="20"/>
      <c r="DC8" s="12"/>
      <c r="DD8" s="334">
        <v>3</v>
      </c>
      <c r="DE8" s="339" t="s">
        <v>71</v>
      </c>
      <c r="DF8" s="340">
        <v>60267.170391868858</v>
      </c>
      <c r="DG8" s="338">
        <v>1293154.5299000004</v>
      </c>
      <c r="DH8" s="340">
        <v>60924.503725202172</v>
      </c>
      <c r="DI8" s="337">
        <v>1306187.5912333333</v>
      </c>
      <c r="DJ8" s="337">
        <v>1026773.5035410072</v>
      </c>
      <c r="DK8" s="12"/>
      <c r="DL8" s="20"/>
      <c r="DM8" s="12"/>
      <c r="DN8" s="334">
        <v>3</v>
      </c>
      <c r="DO8" s="339" t="s">
        <v>71</v>
      </c>
      <c r="DP8" s="340">
        <v>255852.11881402408</v>
      </c>
      <c r="DQ8" s="337">
        <v>7492085.3834500015</v>
      </c>
      <c r="DR8" s="337">
        <v>49843.19</v>
      </c>
      <c r="DS8" s="338">
        <v>7541928.573450001</v>
      </c>
      <c r="DT8" s="340">
        <v>258491.11881402408</v>
      </c>
      <c r="DU8" s="337">
        <v>7568578.3701166678</v>
      </c>
      <c r="DV8" s="337">
        <v>830592.14461110905</v>
      </c>
      <c r="DW8" s="337">
        <v>8399170.5147277769</v>
      </c>
      <c r="DX8" s="12"/>
      <c r="DY8" s="13"/>
      <c r="DZ8" s="12"/>
      <c r="EA8" s="207">
        <v>3</v>
      </c>
      <c r="EB8" s="341" t="s">
        <v>183</v>
      </c>
      <c r="EC8" s="214">
        <v>2606745.8140000002</v>
      </c>
      <c r="ED8" s="214">
        <v>5392256.6599999983</v>
      </c>
      <c r="EE8" s="214">
        <v>12852382.780000001</v>
      </c>
      <c r="EF8" s="214">
        <v>20851385.254000001</v>
      </c>
      <c r="EG8" s="313"/>
      <c r="EH8" s="214"/>
      <c r="EI8" s="214"/>
      <c r="EJ8" s="214"/>
      <c r="EK8" s="18"/>
      <c r="EL8" s="342"/>
      <c r="EM8" s="18"/>
      <c r="EN8" s="334">
        <v>3</v>
      </c>
      <c r="EO8" s="343" t="s">
        <v>184</v>
      </c>
      <c r="EP8" s="214">
        <v>153930.875</v>
      </c>
      <c r="EQ8" s="214">
        <v>181107.41999999998</v>
      </c>
      <c r="ER8" s="214">
        <v>1214919.3960000002</v>
      </c>
      <c r="ES8" s="215">
        <f>SUM(EP8:ER8)</f>
        <v>1549957.6910000001</v>
      </c>
      <c r="ET8" s="214">
        <v>157739.88460000002</v>
      </c>
      <c r="EU8" s="214">
        <v>181107.41999999998</v>
      </c>
      <c r="EV8" s="214">
        <v>1217955.7293333334</v>
      </c>
      <c r="EW8" s="214">
        <f>SUM(ET8:EV8)</f>
        <v>1556803.0339333336</v>
      </c>
      <c r="EX8" s="16"/>
      <c r="EY8" s="20"/>
      <c r="EZ8" s="12"/>
      <c r="FA8" s="334">
        <v>3</v>
      </c>
      <c r="FB8" s="343" t="s">
        <v>184</v>
      </c>
      <c r="FC8" s="214">
        <v>989837.17199999979</v>
      </c>
      <c r="FD8" s="214">
        <v>800445.58999999985</v>
      </c>
      <c r="FE8" s="214">
        <v>1285719.08</v>
      </c>
      <c r="FF8" s="215">
        <f>SUM(FC8:FE8)</f>
        <v>3076001.8419999997</v>
      </c>
      <c r="FG8" s="214">
        <v>950530.77371666674</v>
      </c>
      <c r="FH8" s="214">
        <v>767335.04304999986</v>
      </c>
      <c r="FI8" s="214">
        <v>1250585.9826666666</v>
      </c>
      <c r="FJ8" s="215">
        <f>SUM(FG8:FI8)</f>
        <v>2968451.7994333333</v>
      </c>
      <c r="FK8" s="214">
        <f>(FJ8/$FJ$9)*$FK$9</f>
        <v>1828580.4172705847</v>
      </c>
      <c r="FL8" s="214">
        <f>(FJ8/$FJ$9)*$FL$9</f>
        <v>896035.50354303513</v>
      </c>
      <c r="FM8" s="214">
        <f>SUM(FK8:FL8)</f>
        <v>2724615.9208136201</v>
      </c>
      <c r="FN8" s="16"/>
      <c r="FO8" s="20"/>
      <c r="FP8" s="12"/>
      <c r="FQ8" s="207">
        <f>FQ7+1</f>
        <v>3</v>
      </c>
      <c r="FR8" s="344"/>
      <c r="FS8" s="345" t="s">
        <v>185</v>
      </c>
      <c r="FT8" s="214">
        <v>227688.05500000005</v>
      </c>
      <c r="FU8" s="214">
        <v>266316.06999999995</v>
      </c>
      <c r="FV8" s="214">
        <v>519733.56599999999</v>
      </c>
      <c r="FW8" s="215">
        <f t="shared" si="22"/>
        <v>1013737.691</v>
      </c>
      <c r="FX8" s="214">
        <v>228398.0526</v>
      </c>
      <c r="FY8" s="214">
        <v>266316.06999999995</v>
      </c>
      <c r="FZ8" s="214">
        <v>528656.89933333336</v>
      </c>
      <c r="GA8" s="214">
        <v>1023371.0219333332</v>
      </c>
      <c r="GB8" s="214">
        <v>1023371.0219333332</v>
      </c>
      <c r="GC8" s="16"/>
      <c r="GD8" s="346"/>
      <c r="GE8" s="12"/>
      <c r="GF8" s="207">
        <v>3</v>
      </c>
      <c r="GG8" s="210" t="s">
        <v>186</v>
      </c>
      <c r="GH8" s="214">
        <v>0</v>
      </c>
      <c r="GI8" s="214">
        <v>1252.99</v>
      </c>
      <c r="GJ8" s="214">
        <v>2596.9899999999998</v>
      </c>
      <c r="GK8" s="215">
        <f t="shared" si="0"/>
        <v>3849.9799999999996</v>
      </c>
      <c r="GL8" s="214">
        <v>0</v>
      </c>
      <c r="GM8" s="214">
        <v>1252.99</v>
      </c>
      <c r="GN8" s="214">
        <v>2363.9899999999998</v>
      </c>
      <c r="GO8" s="214">
        <f>SUM(GL8:GN8)</f>
        <v>3616.9799999999996</v>
      </c>
      <c r="GP8" s="225"/>
      <c r="GQ8" s="226"/>
      <c r="GR8" s="12"/>
      <c r="GS8" s="207">
        <v>3</v>
      </c>
      <c r="GT8" s="347" t="s">
        <v>187</v>
      </c>
      <c r="GU8" s="214">
        <v>29563056.449999999</v>
      </c>
      <c r="GV8" s="214">
        <v>66536029</v>
      </c>
      <c r="GW8" s="214">
        <v>137024935</v>
      </c>
      <c r="GX8" s="215">
        <f>SUM(GU8:GW8)</f>
        <v>233124020.44999999</v>
      </c>
      <c r="GY8" s="214">
        <v>29996226.849999998</v>
      </c>
      <c r="GZ8" s="214">
        <v>66536029</v>
      </c>
      <c r="HA8" s="214">
        <v>138008426.33333331</v>
      </c>
      <c r="HB8" s="214">
        <f>SUM(GY8:HA8)</f>
        <v>234540682.18333331</v>
      </c>
      <c r="HC8" s="12"/>
      <c r="HD8" s="13"/>
      <c r="HE8" s="12"/>
      <c r="HF8" s="12"/>
      <c r="HG8" s="207">
        <v>3</v>
      </c>
      <c r="HH8" s="231">
        <v>3</v>
      </c>
      <c r="HI8" s="231">
        <v>10</v>
      </c>
      <c r="HJ8" s="231">
        <v>10</v>
      </c>
      <c r="HK8" s="232">
        <v>17407394.199999999</v>
      </c>
      <c r="HL8" s="232">
        <v>17517358</v>
      </c>
      <c r="HM8" s="234">
        <f t="shared" si="1"/>
        <v>1</v>
      </c>
      <c r="HN8" s="234">
        <f t="shared" si="2"/>
        <v>1.0063170741546141</v>
      </c>
      <c r="HO8" s="235">
        <v>1</v>
      </c>
      <c r="HP8" s="235">
        <v>0</v>
      </c>
      <c r="HQ8" s="235">
        <v>0</v>
      </c>
      <c r="HR8" s="12"/>
      <c r="HS8" s="13"/>
      <c r="HT8" s="12"/>
      <c r="HU8" s="348">
        <v>3</v>
      </c>
      <c r="HV8" s="242">
        <v>3</v>
      </c>
      <c r="HW8" s="238">
        <f t="shared" si="3"/>
        <v>1.0063170741546141</v>
      </c>
      <c r="HX8" s="214">
        <v>143191.98850000001</v>
      </c>
      <c r="HY8" s="215">
        <f t="shared" si="23"/>
        <v>144096.54290970115</v>
      </c>
      <c r="HZ8" s="214">
        <v>1886898.2</v>
      </c>
      <c r="IA8" s="215">
        <v>2063358</v>
      </c>
      <c r="IB8" s="214">
        <v>652956.8192599999</v>
      </c>
      <c r="IC8" s="215">
        <v>943563</v>
      </c>
      <c r="ID8" s="214">
        <v>225000</v>
      </c>
      <c r="IE8" s="214">
        <v>225000</v>
      </c>
      <c r="IF8" s="214">
        <f t="shared" si="24"/>
        <v>1021148.8077599999</v>
      </c>
      <c r="IG8" s="214">
        <f t="shared" si="24"/>
        <v>1312659.5429097011</v>
      </c>
      <c r="IH8" s="239"/>
      <c r="II8" s="240"/>
      <c r="IJ8" s="239"/>
      <c r="IK8" s="241">
        <v>3</v>
      </c>
      <c r="IL8" s="242">
        <v>3</v>
      </c>
      <c r="IM8" s="243">
        <f t="shared" si="4"/>
        <v>1</v>
      </c>
      <c r="IN8" s="244">
        <f t="shared" si="4"/>
        <v>1.0063170741546141</v>
      </c>
      <c r="IO8" s="214">
        <v>332528.69682292745</v>
      </c>
      <c r="IP8" s="215">
        <f t="shared" ref="IP8:IP25" si="63">IO8*$IN8</f>
        <v>334629.3052592951</v>
      </c>
      <c r="IQ8" s="214">
        <v>31073.251982478541</v>
      </c>
      <c r="IR8" s="215">
        <f t="shared" si="25"/>
        <v>31269.544019476867</v>
      </c>
      <c r="IS8" s="214">
        <v>228919.15177707252</v>
      </c>
      <c r="IT8" s="215">
        <f t="shared" si="26"/>
        <v>228919.15177707252</v>
      </c>
      <c r="IU8" s="214">
        <v>403747.1</v>
      </c>
      <c r="IV8" s="215">
        <v>422783.3</v>
      </c>
      <c r="IW8" s="214">
        <v>24537.990710473092</v>
      </c>
      <c r="IX8" s="215">
        <f t="shared" si="27"/>
        <v>24692.999017396382</v>
      </c>
      <c r="IY8" s="214">
        <v>17665.768</v>
      </c>
      <c r="IZ8" s="215">
        <f t="shared" si="28"/>
        <v>17777.36396645421</v>
      </c>
      <c r="JA8" s="214">
        <v>35008.529600000002</v>
      </c>
      <c r="JB8" s="215">
        <f t="shared" si="29"/>
        <v>35229.681077527202</v>
      </c>
      <c r="JC8" s="214">
        <v>270672.9165329606</v>
      </c>
      <c r="JD8" s="215">
        <f t="shared" si="30"/>
        <v>272382.77741834498</v>
      </c>
      <c r="JE8" s="214">
        <f t="shared" si="31"/>
        <v>1344153.405425912</v>
      </c>
      <c r="JF8" s="214">
        <f t="shared" si="31"/>
        <v>1367684.1225355673</v>
      </c>
      <c r="JG8" s="245">
        <f t="shared" si="5"/>
        <v>7.807593602503113</v>
      </c>
      <c r="JH8" s="12"/>
      <c r="JI8" s="13"/>
      <c r="JJ8" s="12"/>
      <c r="JK8" s="207">
        <v>3</v>
      </c>
      <c r="JL8" s="231">
        <v>3</v>
      </c>
      <c r="JM8" s="29">
        <f t="shared" si="6"/>
        <v>10</v>
      </c>
      <c r="JN8" s="29">
        <f t="shared" si="32"/>
        <v>10</v>
      </c>
      <c r="JO8" s="213">
        <f t="shared" si="7"/>
        <v>17517358</v>
      </c>
      <c r="JP8" s="213">
        <f t="shared" si="8"/>
        <v>18020258.052765675</v>
      </c>
      <c r="JQ8" s="247">
        <f t="shared" si="33"/>
        <v>1</v>
      </c>
      <c r="JR8" s="247">
        <f t="shared" si="34"/>
        <v>1.0287086701525239</v>
      </c>
      <c r="JS8" s="247">
        <f t="shared" si="35"/>
        <v>1.044382074876806</v>
      </c>
      <c r="JT8" s="231" t="s">
        <v>403</v>
      </c>
      <c r="JU8" s="248"/>
      <c r="JV8" s="249"/>
      <c r="JW8" s="248"/>
      <c r="JX8" s="207">
        <v>3</v>
      </c>
      <c r="JY8" s="231">
        <v>3</v>
      </c>
      <c r="JZ8" s="250" t="str">
        <f t="shared" si="9"/>
        <v>Q4</v>
      </c>
      <c r="KA8" s="251">
        <f t="shared" si="10"/>
        <v>1.044382074876806</v>
      </c>
      <c r="KB8" s="214">
        <f t="shared" si="36"/>
        <v>144096.54290970115</v>
      </c>
      <c r="KC8" s="214">
        <f t="shared" si="37"/>
        <v>150491.8464666084</v>
      </c>
      <c r="KD8" s="214">
        <f t="shared" si="11"/>
        <v>2063358</v>
      </c>
      <c r="KE8" s="214">
        <f t="shared" si="38"/>
        <v>1985666.1485263284</v>
      </c>
      <c r="KF8" s="214">
        <f t="shared" si="12"/>
        <v>943563</v>
      </c>
      <c r="KG8" s="214">
        <f t="shared" si="13"/>
        <v>1016781.6222601369</v>
      </c>
      <c r="KH8" s="214">
        <f t="shared" si="39"/>
        <v>225000</v>
      </c>
      <c r="KI8" s="214">
        <f t="shared" si="40"/>
        <v>38260.193669567721</v>
      </c>
      <c r="KJ8" s="214">
        <f t="shared" si="41"/>
        <v>1312659.5429097011</v>
      </c>
      <c r="KK8" s="214">
        <f t="shared" si="41"/>
        <v>1205533.6623963132</v>
      </c>
      <c r="KL8" s="252"/>
      <c r="KM8" s="249"/>
      <c r="KN8" s="248"/>
      <c r="KO8" s="295">
        <f t="shared" ref="KO8:KO28" si="64">KO7+1</f>
        <v>3</v>
      </c>
      <c r="KP8" s="296">
        <v>2</v>
      </c>
      <c r="KQ8" s="349">
        <f t="shared" ref="KQ8:KR27" si="65">JQ7</f>
        <v>1</v>
      </c>
      <c r="KR8" s="349">
        <f t="shared" si="65"/>
        <v>1.0287086701525239</v>
      </c>
      <c r="KS8" s="301">
        <v>1.69933333</v>
      </c>
      <c r="KT8" s="270">
        <f t="shared" ref="KT8:KT26" si="66">IP7*KT$6/KS8*JR7</f>
        <v>453169.21097876155</v>
      </c>
      <c r="KU8" s="301">
        <v>1.69933333</v>
      </c>
      <c r="KV8" s="270">
        <f t="shared" si="42"/>
        <v>60963.106630104936</v>
      </c>
      <c r="KW8" s="301">
        <v>1.69933333</v>
      </c>
      <c r="KX8" s="270">
        <f t="shared" si="43"/>
        <v>189398.31239115316</v>
      </c>
      <c r="KY8" s="301">
        <v>1.7150382799999999</v>
      </c>
      <c r="KZ8" s="270">
        <f t="shared" ref="KZ8:KZ26" si="67">IV7*KZ$6/KY8*KQ8</f>
        <v>457090.15492960077</v>
      </c>
      <c r="LA8" s="301">
        <v>1.69933333</v>
      </c>
      <c r="LB8" s="270">
        <f t="shared" si="44"/>
        <v>47385.738460376786</v>
      </c>
      <c r="LC8" s="301">
        <v>1.69933333</v>
      </c>
      <c r="LD8" s="270">
        <f t="shared" si="45"/>
        <v>29484.148541411789</v>
      </c>
      <c r="LE8" s="301">
        <v>1.69933333</v>
      </c>
      <c r="LF8" s="270">
        <f t="shared" si="46"/>
        <v>74991.46984369737</v>
      </c>
      <c r="LG8" s="301">
        <v>1.69933333</v>
      </c>
      <c r="LH8" s="270">
        <f t="shared" si="47"/>
        <v>132090.45921540051</v>
      </c>
      <c r="LI8" s="273">
        <f t="shared" si="48"/>
        <v>1382186.3516783768</v>
      </c>
      <c r="LJ8" s="273">
        <f t="shared" ref="LJ8:LJ26" si="68">KT8+KV8+KX8+KZ8+LB8+LF8+LH8+LD8</f>
        <v>1444572.6009905071</v>
      </c>
      <c r="LK8" s="16"/>
      <c r="LL8" s="261"/>
      <c r="LM8" s="12"/>
      <c r="LN8" s="207">
        <v>3</v>
      </c>
      <c r="LO8" s="262">
        <v>3</v>
      </c>
      <c r="LP8" s="214">
        <f t="shared" si="14"/>
        <v>1021148.8077599999</v>
      </c>
      <c r="LQ8" s="214">
        <f t="shared" si="14"/>
        <v>1312659.5429097011</v>
      </c>
      <c r="LR8" s="215">
        <f t="shared" si="15"/>
        <v>1205533.6623963132</v>
      </c>
      <c r="LS8" s="214">
        <f t="shared" si="16"/>
        <v>1344153.405425912</v>
      </c>
      <c r="LT8" s="214">
        <f t="shared" si="16"/>
        <v>1367684.1225355673</v>
      </c>
      <c r="LU8" s="215">
        <f t="shared" si="49"/>
        <v>1428384.7816697597</v>
      </c>
      <c r="LV8" s="214">
        <f t="shared" si="50"/>
        <v>-323004.59766591212</v>
      </c>
      <c r="LW8" s="214">
        <f t="shared" si="50"/>
        <v>-55024.579625866143</v>
      </c>
      <c r="LX8" s="214">
        <f t="shared" si="50"/>
        <v>-222851.1192734465</v>
      </c>
      <c r="LY8" s="12"/>
      <c r="LZ8" s="13"/>
      <c r="MA8" s="12"/>
      <c r="MB8" s="207">
        <f t="shared" ref="MB8:MB13" si="69">MB7+1</f>
        <v>3</v>
      </c>
      <c r="MC8" s="350" t="s">
        <v>43</v>
      </c>
      <c r="MD8" s="351">
        <f>'Phase I Schedules'!MJ8</f>
        <v>246435554.94999999</v>
      </c>
      <c r="ME8" s="12"/>
      <c r="MF8" s="13"/>
      <c r="MG8" s="12"/>
      <c r="MH8" s="264">
        <f>MH7+1</f>
        <v>2</v>
      </c>
      <c r="MI8" s="274" t="s">
        <v>180</v>
      </c>
      <c r="MJ8" s="273">
        <f>N8</f>
        <v>246435554.94999999</v>
      </c>
      <c r="MK8" s="352">
        <f t="shared" si="51"/>
        <v>11.019077211391966</v>
      </c>
      <c r="ML8" s="12"/>
      <c r="MM8" s="267">
        <f>MJ8</f>
        <v>246435554.94999999</v>
      </c>
      <c r="MN8" s="352">
        <f t="shared" si="52"/>
        <v>11.019077211391966</v>
      </c>
      <c r="MO8" s="12"/>
      <c r="MP8" s="13"/>
      <c r="MQ8" s="12"/>
      <c r="MR8" s="264">
        <f>MR7+1</f>
        <v>2</v>
      </c>
      <c r="MS8" s="274" t="str">
        <f t="shared" si="53"/>
        <v>Less Purchases</v>
      </c>
      <c r="MT8" s="353">
        <v>242112759.84999999</v>
      </c>
      <c r="MU8" s="273">
        <f>MJ8</f>
        <v>246435554.94999999</v>
      </c>
      <c r="MV8" s="273">
        <f t="shared" ref="MV8:MV32" si="70">MU8-MT8</f>
        <v>4322795.099999994</v>
      </c>
      <c r="MW8" s="283">
        <f t="shared" ref="MW8:MW31" si="71">MV8/MT8</f>
        <v>1.7854470382635615E-2</v>
      </c>
      <c r="MX8" s="12"/>
      <c r="MY8" s="13"/>
      <c r="MZ8" s="12"/>
    </row>
    <row r="9" spans="1:417" ht="17.25" thickBot="1" x14ac:dyDescent="0.35">
      <c r="B9" s="152">
        <f t="shared" ref="B9:B22" si="72">B8+1</f>
        <v>4</v>
      </c>
      <c r="C9" s="265"/>
      <c r="D9" s="12" t="s">
        <v>188</v>
      </c>
      <c r="E9" s="266"/>
      <c r="F9" s="267">
        <f>F7-F8</f>
        <v>115517377.87040001</v>
      </c>
      <c r="G9" s="268">
        <f t="shared" si="17"/>
        <v>5.497874849915485</v>
      </c>
      <c r="H9" s="267">
        <f>H7-H8</f>
        <v>115912022.03442553</v>
      </c>
      <c r="I9" s="269">
        <f t="shared" si="18"/>
        <v>5.4926258950198381</v>
      </c>
      <c r="J9" s="270">
        <f t="shared" si="54"/>
        <v>394644.16402551532</v>
      </c>
      <c r="K9" s="267">
        <f>IC26</f>
        <v>117864670</v>
      </c>
      <c r="L9" s="269">
        <f t="shared" si="19"/>
        <v>5.4214805532038213</v>
      </c>
      <c r="M9" s="270">
        <f t="shared" si="55"/>
        <v>1952647.9655744731</v>
      </c>
      <c r="N9" s="267">
        <f>KG26</f>
        <v>126189965.78584002</v>
      </c>
      <c r="O9" s="269">
        <f t="shared" si="20"/>
        <v>5.6424365249535668</v>
      </c>
      <c r="P9" s="270">
        <f t="shared" si="56"/>
        <v>8325295.7858400196</v>
      </c>
      <c r="Q9" s="267">
        <f t="shared" si="57"/>
        <v>10672587.915440008</v>
      </c>
      <c r="R9" s="271">
        <f>O9/G9-1</f>
        <v>2.6294100717898949E-2</v>
      </c>
      <c r="V9" s="200"/>
      <c r="W9" s="201" t="s">
        <v>24</v>
      </c>
      <c r="X9" s="354"/>
      <c r="Y9" s="355"/>
      <c r="Z9" s="355"/>
      <c r="AA9" s="355"/>
      <c r="AB9" s="204"/>
      <c r="AC9" s="277"/>
      <c r="AF9" s="356">
        <f t="shared" ref="AF9:AF21" si="73">AF8+1</f>
        <v>3</v>
      </c>
      <c r="AG9" s="357" t="s">
        <v>189</v>
      </c>
      <c r="AH9" s="358">
        <f>F14/AH7</f>
        <v>21.882503158955505</v>
      </c>
      <c r="AI9" s="358">
        <f>F15/AI7</f>
        <v>21.036041520361255</v>
      </c>
      <c r="AJ9" s="358">
        <f>F16/AJ7</f>
        <v>28.405628366586861</v>
      </c>
      <c r="AL9" s="359"/>
      <c r="AN9" s="264">
        <v>4</v>
      </c>
      <c r="AO9" s="18"/>
      <c r="AQ9" s="12" t="s">
        <v>190</v>
      </c>
      <c r="AR9" s="266"/>
      <c r="AS9" s="276">
        <v>40798541.478400007</v>
      </c>
      <c r="AT9" s="277">
        <v>3.9784808756709964</v>
      </c>
      <c r="AU9" s="278"/>
      <c r="AV9" s="276">
        <v>43143142.145199999</v>
      </c>
      <c r="AW9" s="277">
        <v>3.9977765121497129</v>
      </c>
      <c r="AX9" s="279">
        <f>AW9/AT9-1</f>
        <v>4.8500010636502999E-3</v>
      </c>
      <c r="AY9" s="278"/>
      <c r="AZ9" s="276">
        <v>52055496.75</v>
      </c>
      <c r="BA9" s="277">
        <v>4.0348819154069133</v>
      </c>
      <c r="BB9" s="279">
        <f>BA9/AW9-1</f>
        <v>9.2815101455603344E-3</v>
      </c>
      <c r="BC9" s="278"/>
      <c r="BD9" s="276">
        <v>59830706</v>
      </c>
      <c r="BE9" s="277">
        <v>4.0684254603524463</v>
      </c>
      <c r="BF9" s="279">
        <f>BE9/BA9-1</f>
        <v>8.313389499070345E-3</v>
      </c>
      <c r="BG9" s="278"/>
      <c r="BH9" s="276">
        <v>59786661.226033345</v>
      </c>
      <c r="BI9" s="277">
        <v>3.9342611202245616</v>
      </c>
      <c r="BJ9" s="279">
        <f>BI9/BE9-1</f>
        <v>-3.2976968961417885E-2</v>
      </c>
      <c r="BK9" s="278"/>
      <c r="BL9" s="276">
        <v>66021321</v>
      </c>
      <c r="BM9" s="277">
        <v>3.9248623221128827</v>
      </c>
      <c r="BN9" s="279">
        <f>BM9/BI9-1</f>
        <v>-2.3889614401452208E-3</v>
      </c>
      <c r="BO9" s="278"/>
      <c r="BP9" s="276">
        <v>81963127.490000069</v>
      </c>
      <c r="BQ9" s="277">
        <v>4.4189957395433002</v>
      </c>
      <c r="BR9" s="279">
        <f>BQ9/BM9-1</f>
        <v>0.12589828046870433</v>
      </c>
      <c r="BS9" s="278"/>
      <c r="BT9" s="12">
        <v>94550736.985399961</v>
      </c>
      <c r="BU9" s="12">
        <v>4.8189639488589151</v>
      </c>
      <c r="BV9" s="12">
        <f>BU9/BQ9-1</f>
        <v>9.0511109964761305E-2</v>
      </c>
      <c r="BW9" s="280">
        <v>96385423.959800005</v>
      </c>
      <c r="BX9" s="281">
        <v>4.9793229575775362</v>
      </c>
      <c r="BY9" s="282">
        <f t="shared" si="60"/>
        <v>3.3276656646620495E-2</v>
      </c>
      <c r="BZ9" s="282">
        <v>104384344.36159995</v>
      </c>
      <c r="CA9" s="282">
        <v>5.1171376873373191</v>
      </c>
      <c r="CB9" s="282">
        <f t="shared" si="61"/>
        <v>2.7677403320476746E-2</v>
      </c>
      <c r="CC9" s="282">
        <v>97424965.908500075</v>
      </c>
      <c r="CD9" s="282">
        <v>4.6875236286878099</v>
      </c>
      <c r="CE9" s="283">
        <f>CD9/CA9-1</f>
        <v>-8.3955931010536666E-2</v>
      </c>
      <c r="CF9" s="267">
        <v>105753896.93769997</v>
      </c>
      <c r="CG9" s="282">
        <v>5.0829189065932399</v>
      </c>
      <c r="CH9" s="283">
        <f>CG9/CD9-1</f>
        <v>8.4350567426603851E-2</v>
      </c>
      <c r="CI9" s="267">
        <f t="shared" si="21"/>
        <v>115517377.87040001</v>
      </c>
      <c r="CJ9" s="282">
        <f t="shared" si="21"/>
        <v>5.497874849915485</v>
      </c>
      <c r="CK9" s="283">
        <f>CJ9/CG9-1</f>
        <v>8.1637332986759015E-2</v>
      </c>
      <c r="CL9" s="284">
        <f t="shared" si="62"/>
        <v>1.8314094985860816</v>
      </c>
      <c r="CM9" s="283">
        <f>(CL9+1)^(1/(2023-2004))-1</f>
        <v>5.6305679718759105E-2</v>
      </c>
      <c r="CQ9" s="360">
        <v>4</v>
      </c>
      <c r="CR9" s="361" t="s">
        <v>72</v>
      </c>
      <c r="CS9" s="362">
        <f t="shared" ref="CS9:CZ9" si="74">SUM(CS6:CS8)</f>
        <v>1831916.9046912384</v>
      </c>
      <c r="CT9" s="363">
        <f t="shared" si="74"/>
        <v>34816352.748850018</v>
      </c>
      <c r="CU9" s="363">
        <f t="shared" si="74"/>
        <v>5270574.7049999982</v>
      </c>
      <c r="CV9" s="364">
        <f t="shared" si="74"/>
        <v>40086927.453850016</v>
      </c>
      <c r="CW9" s="362">
        <f t="shared" si="74"/>
        <v>1849548.2213579051</v>
      </c>
      <c r="CX9" s="363">
        <f t="shared" si="74"/>
        <v>34871280.856083341</v>
      </c>
      <c r="CY9" s="363">
        <f t="shared" si="74"/>
        <v>4294567.0090453662</v>
      </c>
      <c r="CZ9" s="363">
        <f t="shared" si="74"/>
        <v>39165847.865128703</v>
      </c>
      <c r="DB9" s="20"/>
      <c r="DD9" s="360">
        <v>4</v>
      </c>
      <c r="DE9" s="361" t="s">
        <v>72</v>
      </c>
      <c r="DF9" s="365">
        <f>SUM(DF6:DF8)</f>
        <v>128460.41571007478</v>
      </c>
      <c r="DG9" s="366">
        <f>SUM(DG6:DG8)</f>
        <v>2702298.6386000006</v>
      </c>
      <c r="DH9" s="365">
        <f>SUM(DH6:DH8)</f>
        <v>129555.84904340809</v>
      </c>
      <c r="DI9" s="367">
        <f>SUM(DI6:DI8)</f>
        <v>2727230.4959333334</v>
      </c>
      <c r="DJ9" s="367">
        <f>SUM(DJ6:DJ8)</f>
        <v>2143832.9609526349</v>
      </c>
      <c r="DL9" s="20"/>
      <c r="DN9" s="360">
        <v>4</v>
      </c>
      <c r="DO9" s="361" t="s">
        <v>72</v>
      </c>
      <c r="DP9" s="365">
        <f t="shared" ref="DP9:DV9" si="75">SUM(DP6:DP8)</f>
        <v>559486.36967116699</v>
      </c>
      <c r="DQ9" s="368">
        <f t="shared" si="75"/>
        <v>15773739.843050003</v>
      </c>
      <c r="DR9" s="369">
        <f t="shared" si="75"/>
        <v>118822.05</v>
      </c>
      <c r="DS9" s="370">
        <f t="shared" si="75"/>
        <v>15892561.893050004</v>
      </c>
      <c r="DT9" s="365">
        <f t="shared" si="75"/>
        <v>563910.42967116693</v>
      </c>
      <c r="DU9" s="368">
        <f t="shared" si="75"/>
        <v>15900360.243316669</v>
      </c>
      <c r="DV9" s="369">
        <f t="shared" si="75"/>
        <v>1427960.6760546328</v>
      </c>
      <c r="DW9" s="368">
        <f>SUM(DW6:DW8)</f>
        <v>17328320.919371299</v>
      </c>
      <c r="EA9" s="264">
        <v>4</v>
      </c>
      <c r="EB9" s="17" t="s">
        <v>191</v>
      </c>
      <c r="EC9" s="273">
        <v>691103.60139999993</v>
      </c>
      <c r="ED9" s="273">
        <v>843339.83</v>
      </c>
      <c r="EE9" s="273">
        <v>1482178.8380000002</v>
      </c>
      <c r="EF9" s="273">
        <v>3016622.2694000001</v>
      </c>
      <c r="EG9" s="267"/>
      <c r="EH9" s="273"/>
      <c r="EI9" s="273"/>
      <c r="EJ9" s="273"/>
      <c r="EN9" s="371">
        <v>4</v>
      </c>
      <c r="EO9" s="372" t="s">
        <v>72</v>
      </c>
      <c r="EP9" s="373">
        <f t="shared" ref="EP9:EV9" si="76">SUM(EP6:EP8)</f>
        <v>544208.81400000001</v>
      </c>
      <c r="EQ9" s="373">
        <f t="shared" si="76"/>
        <v>1429734.4650000001</v>
      </c>
      <c r="ER9" s="373">
        <f t="shared" si="76"/>
        <v>5485186.9389999993</v>
      </c>
      <c r="ES9" s="374">
        <f t="shared" si="76"/>
        <v>7459130.2179999985</v>
      </c>
      <c r="ET9" s="373">
        <f t="shared" si="76"/>
        <v>548929.37264318264</v>
      </c>
      <c r="EU9" s="373">
        <f t="shared" si="76"/>
        <v>1429734.2750000001</v>
      </c>
      <c r="EV9" s="373">
        <f t="shared" si="76"/>
        <v>5497717.328999999</v>
      </c>
      <c r="EW9" s="373">
        <f>SUM(EW6:EW8)</f>
        <v>7476380.9766431823</v>
      </c>
      <c r="EX9" s="16"/>
      <c r="EY9" s="346"/>
      <c r="FA9" s="371">
        <v>4</v>
      </c>
      <c r="FB9" s="372" t="s">
        <v>72</v>
      </c>
      <c r="FC9" s="373">
        <f t="shared" ref="FC9:FJ9" si="77">SUM(FC6:FC8)</f>
        <v>1249569.4179999998</v>
      </c>
      <c r="FD9" s="373">
        <f t="shared" si="77"/>
        <v>1205296.2899999998</v>
      </c>
      <c r="FE9" s="373">
        <f t="shared" si="77"/>
        <v>2133473.0219999999</v>
      </c>
      <c r="FF9" s="374">
        <f t="shared" si="77"/>
        <v>4588338.7299999995</v>
      </c>
      <c r="FG9" s="373">
        <f t="shared" si="77"/>
        <v>1195204.8333616331</v>
      </c>
      <c r="FH9" s="373">
        <f t="shared" si="77"/>
        <v>1052665.4920499998</v>
      </c>
      <c r="FI9" s="373">
        <f t="shared" si="77"/>
        <v>2160036.1981250001</v>
      </c>
      <c r="FJ9" s="374">
        <f t="shared" si="77"/>
        <v>4407906.5235366328</v>
      </c>
      <c r="FK9" s="373">
        <v>2715291.3689341405</v>
      </c>
      <c r="FL9" s="373">
        <v>1330538.9503517451</v>
      </c>
      <c r="FM9" s="373">
        <f>SUM(FK9:FL9)</f>
        <v>4045830.3192858854</v>
      </c>
      <c r="FN9" s="16"/>
      <c r="FO9" s="346"/>
      <c r="FQ9" s="264">
        <f t="shared" ref="FQ9:FQ38" si="78">FQ8+1</f>
        <v>4</v>
      </c>
      <c r="FR9" s="292"/>
      <c r="FS9" s="293" t="s">
        <v>192</v>
      </c>
      <c r="FT9" s="273">
        <v>195355.26799999998</v>
      </c>
      <c r="FU9" s="273">
        <v>184654.91</v>
      </c>
      <c r="FV9" s="273">
        <v>291526.29979999992</v>
      </c>
      <c r="FW9" s="270">
        <f t="shared" si="22"/>
        <v>671536.47779999988</v>
      </c>
      <c r="FX9" s="273">
        <v>200483.84933333332</v>
      </c>
      <c r="FY9" s="273">
        <v>184654.91</v>
      </c>
      <c r="FZ9" s="273">
        <v>294474.29979999992</v>
      </c>
      <c r="GA9" s="273">
        <v>679613.05913333327</v>
      </c>
      <c r="GB9" s="273">
        <v>679613.05913333327</v>
      </c>
      <c r="GC9" s="16"/>
      <c r="GD9" s="346"/>
      <c r="GF9" s="264">
        <v>4</v>
      </c>
      <c r="GG9" s="266" t="s">
        <v>193</v>
      </c>
      <c r="GH9" s="273">
        <v>0</v>
      </c>
      <c r="GI9" s="273">
        <v>73.5</v>
      </c>
      <c r="GJ9" s="273">
        <v>0</v>
      </c>
      <c r="GK9" s="270">
        <f t="shared" si="0"/>
        <v>73.5</v>
      </c>
      <c r="GL9" s="273">
        <v>0</v>
      </c>
      <c r="GM9" s="273">
        <v>73.5</v>
      </c>
      <c r="GN9" s="273">
        <v>0</v>
      </c>
      <c r="GO9" s="273">
        <f>SUM(GL9:GN9)</f>
        <v>73.5</v>
      </c>
      <c r="GP9" s="225"/>
      <c r="GQ9" s="226"/>
      <c r="GS9" s="375">
        <v>4</v>
      </c>
      <c r="GT9" s="376" t="s">
        <v>194</v>
      </c>
      <c r="GU9" s="376">
        <f>GU7-GU8</f>
        <v>15148054.997400004</v>
      </c>
      <c r="GV9" s="376">
        <f>GV7-GV8</f>
        <v>34559106.148499995</v>
      </c>
      <c r="GW9" s="376">
        <f>GW7-GW8</f>
        <v>72863281.788999975</v>
      </c>
      <c r="GX9" s="376">
        <f>SUM(GU9:GW9)</f>
        <v>122570442.93489997</v>
      </c>
      <c r="GY9" s="376">
        <f>GY7-GY8</f>
        <v>14927261.87604</v>
      </c>
      <c r="GZ9" s="376">
        <f>GZ7-GZ8</f>
        <v>33769932.558499992</v>
      </c>
      <c r="HA9" s="376">
        <f>HA7-HA8</f>
        <v>72135764.522366673</v>
      </c>
      <c r="HB9" s="376">
        <f>SUM(GY9:HA9)</f>
        <v>120832958.95690666</v>
      </c>
      <c r="HG9" s="264">
        <v>4</v>
      </c>
      <c r="HH9" s="248">
        <v>4</v>
      </c>
      <c r="HI9" s="248">
        <v>10</v>
      </c>
      <c r="HJ9" s="248">
        <v>10</v>
      </c>
      <c r="HK9" s="275">
        <v>22289044</v>
      </c>
      <c r="HL9" s="275">
        <v>22105149</v>
      </c>
      <c r="HM9" s="269">
        <f t="shared" si="1"/>
        <v>1</v>
      </c>
      <c r="HN9" s="269">
        <f t="shared" si="2"/>
        <v>0.99174953398629384</v>
      </c>
      <c r="HO9" s="271">
        <v>1</v>
      </c>
      <c r="HP9" s="271">
        <v>0</v>
      </c>
      <c r="HQ9" s="271">
        <v>0</v>
      </c>
      <c r="HU9" s="295">
        <v>4</v>
      </c>
      <c r="HV9" s="296">
        <v>4</v>
      </c>
      <c r="HW9" s="297">
        <f t="shared" si="3"/>
        <v>0.99174953398629384</v>
      </c>
      <c r="HX9" s="273">
        <v>5121.32</v>
      </c>
      <c r="HY9" s="270">
        <f t="shared" si="23"/>
        <v>5079.0667233946861</v>
      </c>
      <c r="HZ9" s="273">
        <v>2427757</v>
      </c>
      <c r="IA9" s="270">
        <v>2406699</v>
      </c>
      <c r="IB9" s="273">
        <v>931217.23499999987</v>
      </c>
      <c r="IC9" s="270">
        <v>1106987</v>
      </c>
      <c r="ID9" s="273">
        <v>225000</v>
      </c>
      <c r="IE9" s="273">
        <v>225000</v>
      </c>
      <c r="IF9" s="273">
        <f t="shared" si="24"/>
        <v>1161338.5549999997</v>
      </c>
      <c r="IG9" s="273">
        <f t="shared" si="24"/>
        <v>1337066.0667233947</v>
      </c>
      <c r="IH9" s="239"/>
      <c r="II9" s="240"/>
      <c r="IJ9" s="239"/>
      <c r="IK9" s="298">
        <v>4</v>
      </c>
      <c r="IL9" s="296">
        <v>4</v>
      </c>
      <c r="IM9" s="299">
        <f t="shared" si="4"/>
        <v>1</v>
      </c>
      <c r="IN9" s="300">
        <f t="shared" si="4"/>
        <v>0.99174953398629384</v>
      </c>
      <c r="IO9" s="273">
        <v>532571.47721963958</v>
      </c>
      <c r="IP9" s="270">
        <f t="shared" si="63"/>
        <v>528177.51434696966</v>
      </c>
      <c r="IQ9" s="273">
        <v>42997.895485939531</v>
      </c>
      <c r="IR9" s="270">
        <f t="shared" si="25"/>
        <v>42643.142810571895</v>
      </c>
      <c r="IS9" s="273">
        <v>153180.52478036046</v>
      </c>
      <c r="IT9" s="270">
        <f t="shared" si="26"/>
        <v>153180.52478036046</v>
      </c>
      <c r="IU9" s="273">
        <v>399400.6</v>
      </c>
      <c r="IV9" s="270">
        <v>399400.6</v>
      </c>
      <c r="IW9" s="273">
        <v>78064.563582621588</v>
      </c>
      <c r="IX9" s="270">
        <f t="shared" si="27"/>
        <v>77420.494553908371</v>
      </c>
      <c r="IY9" s="273">
        <v>55229.082500000004</v>
      </c>
      <c r="IZ9" s="270">
        <f t="shared" si="28"/>
        <v>54773.416831865579</v>
      </c>
      <c r="JA9" s="273">
        <v>21169.239999999998</v>
      </c>
      <c r="JB9" s="270">
        <f t="shared" si="29"/>
        <v>20994.58390484401</v>
      </c>
      <c r="JC9" s="273">
        <v>164938.75870000001</v>
      </c>
      <c r="JD9" s="270">
        <f t="shared" si="30"/>
        <v>163577.93707700277</v>
      </c>
      <c r="JE9" s="273">
        <f t="shared" si="31"/>
        <v>1447552.1422685608</v>
      </c>
      <c r="JF9" s="273">
        <f t="shared" si="31"/>
        <v>1440168.2143055229</v>
      </c>
      <c r="JG9" s="301">
        <f t="shared" si="5"/>
        <v>6.5150803294993525</v>
      </c>
      <c r="JK9" s="264">
        <v>4</v>
      </c>
      <c r="JL9" s="248">
        <v>4</v>
      </c>
      <c r="JM9" s="12">
        <f t="shared" si="6"/>
        <v>10</v>
      </c>
      <c r="JN9" s="12">
        <f t="shared" si="32"/>
        <v>10</v>
      </c>
      <c r="JO9" s="302">
        <f t="shared" si="7"/>
        <v>22105149</v>
      </c>
      <c r="JP9" s="302">
        <f t="shared" si="8"/>
        <v>22739758.431313392</v>
      </c>
      <c r="JQ9" s="303">
        <f t="shared" si="33"/>
        <v>1</v>
      </c>
      <c r="JR9" s="303">
        <f t="shared" si="34"/>
        <v>1.0287086701525239</v>
      </c>
      <c r="JS9" s="303">
        <f t="shared" si="35"/>
        <v>1.0474184971100724</v>
      </c>
      <c r="JT9" s="248" t="s">
        <v>403</v>
      </c>
      <c r="JU9" s="248"/>
      <c r="JV9" s="249"/>
      <c r="JW9" s="248"/>
      <c r="JX9" s="264">
        <v>4</v>
      </c>
      <c r="JY9" s="248">
        <v>4</v>
      </c>
      <c r="JZ9" s="377" t="str">
        <f t="shared" si="9"/>
        <v>Q4</v>
      </c>
      <c r="KA9" s="305">
        <f t="shared" si="10"/>
        <v>1.0474184971100724</v>
      </c>
      <c r="KB9" s="289">
        <f t="shared" si="36"/>
        <v>5079.0667233946861</v>
      </c>
      <c r="KC9" s="289">
        <f t="shared" si="37"/>
        <v>5319.908434139842</v>
      </c>
      <c r="KD9" s="289">
        <f t="shared" si="11"/>
        <v>2406699</v>
      </c>
      <c r="KE9" s="289">
        <f t="shared" si="38"/>
        <v>2505711.5392304375</v>
      </c>
      <c r="KF9" s="289">
        <f t="shared" si="12"/>
        <v>1106987</v>
      </c>
      <c r="KG9" s="289">
        <f t="shared" si="13"/>
        <v>1283076.4354146353</v>
      </c>
      <c r="KH9" s="289">
        <f t="shared" si="39"/>
        <v>225000</v>
      </c>
      <c r="KI9" s="289">
        <f t="shared" si="40"/>
        <v>48280.527339490996</v>
      </c>
      <c r="KJ9" s="289">
        <f t="shared" si="41"/>
        <v>1337066.0667233947</v>
      </c>
      <c r="KK9" s="289">
        <f t="shared" si="41"/>
        <v>1336676.8711882662</v>
      </c>
      <c r="KL9" s="252"/>
      <c r="KM9" s="249"/>
      <c r="KN9" s="248"/>
      <c r="KO9" s="306">
        <f t="shared" si="64"/>
        <v>4</v>
      </c>
      <c r="KP9" s="307">
        <v>3</v>
      </c>
      <c r="KQ9" s="308">
        <f t="shared" si="65"/>
        <v>1</v>
      </c>
      <c r="KR9" s="308">
        <f t="shared" si="65"/>
        <v>1.0287086701525239</v>
      </c>
      <c r="KS9" s="245">
        <v>1.7</v>
      </c>
      <c r="KT9" s="215">
        <f t="shared" si="66"/>
        <v>355139.22261995974</v>
      </c>
      <c r="KU9" s="245">
        <v>1.7</v>
      </c>
      <c r="KV9" s="215">
        <f t="shared" si="42"/>
        <v>33186.099902854097</v>
      </c>
      <c r="KW9" s="245">
        <v>1.7</v>
      </c>
      <c r="KX9" s="215">
        <f t="shared" si="43"/>
        <v>236169.81849113386</v>
      </c>
      <c r="KY9" s="245">
        <v>1.7150382799999999</v>
      </c>
      <c r="KZ9" s="215">
        <f t="shared" si="67"/>
        <v>432349.73330498254</v>
      </c>
      <c r="LA9" s="245">
        <v>1.7</v>
      </c>
      <c r="LB9" s="215">
        <f t="shared" si="44"/>
        <v>26206.468881732795</v>
      </c>
      <c r="LC9" s="245">
        <v>1.7</v>
      </c>
      <c r="LD9" s="215">
        <f t="shared" si="45"/>
        <v>18866.964488918631</v>
      </c>
      <c r="LE9" s="245">
        <v>1.7</v>
      </c>
      <c r="LF9" s="215">
        <f t="shared" si="46"/>
        <v>37388.959527401057</v>
      </c>
      <c r="LG9" s="245">
        <v>1.7</v>
      </c>
      <c r="LH9" s="309">
        <f t="shared" si="47"/>
        <v>289077.51445277693</v>
      </c>
      <c r="LI9" s="310">
        <f t="shared" si="48"/>
        <v>1367684.1225355673</v>
      </c>
      <c r="LJ9" s="310">
        <f t="shared" si="68"/>
        <v>1428384.7816697597</v>
      </c>
      <c r="LK9" s="16"/>
      <c r="LL9" s="261"/>
      <c r="LN9" s="264">
        <v>4</v>
      </c>
      <c r="LO9" s="311">
        <v>4</v>
      </c>
      <c r="LP9" s="273">
        <f t="shared" si="14"/>
        <v>1161338.5549999997</v>
      </c>
      <c r="LQ9" s="273">
        <f t="shared" si="14"/>
        <v>1337066.0667233947</v>
      </c>
      <c r="LR9" s="270">
        <f t="shared" si="15"/>
        <v>1336676.8711882662</v>
      </c>
      <c r="LS9" s="273">
        <f t="shared" si="16"/>
        <v>1447552.1422685608</v>
      </c>
      <c r="LT9" s="273">
        <f t="shared" si="16"/>
        <v>1440168.2143055229</v>
      </c>
      <c r="LU9" s="270">
        <f t="shared" si="49"/>
        <v>1508458.8266135873</v>
      </c>
      <c r="LV9" s="273">
        <f t="shared" si="50"/>
        <v>-286213.58726856112</v>
      </c>
      <c r="LW9" s="273">
        <f t="shared" si="50"/>
        <v>-103102.14758212818</v>
      </c>
      <c r="LX9" s="273">
        <f t="shared" si="50"/>
        <v>-171781.95542532112</v>
      </c>
      <c r="MB9" s="264">
        <f t="shared" si="69"/>
        <v>4</v>
      </c>
      <c r="MC9" s="274" t="s">
        <v>195</v>
      </c>
      <c r="MD9" s="273">
        <f>MD7+MD8</f>
        <v>364904080.15066081</v>
      </c>
      <c r="MH9" s="207">
        <f t="shared" ref="MH9:MH32" si="79">MH8+1</f>
        <v>3</v>
      </c>
      <c r="MI9" s="322" t="s">
        <v>196</v>
      </c>
      <c r="MJ9" s="214">
        <f>N9</f>
        <v>126189965.78584002</v>
      </c>
      <c r="MK9" s="312">
        <f t="shared" si="51"/>
        <v>5.6424365249535668</v>
      </c>
      <c r="ML9" s="29"/>
      <c r="MM9" s="313">
        <f>MJ30</f>
        <v>136408725.18370643</v>
      </c>
      <c r="MN9" s="312">
        <f t="shared" si="52"/>
        <v>6.099356383098927</v>
      </c>
      <c r="MR9" s="207">
        <f t="shared" ref="MR9:MR32" si="80">MR8+1</f>
        <v>3</v>
      </c>
      <c r="MS9" s="322" t="str">
        <f t="shared" si="53"/>
        <v>Base Handling Commissions (HC)</v>
      </c>
      <c r="MT9" s="315">
        <v>108837684.83369532</v>
      </c>
      <c r="MU9" s="214">
        <f>MJ9</f>
        <v>126189965.78584002</v>
      </c>
      <c r="MV9" s="214">
        <f t="shared" si="70"/>
        <v>17352280.952144697</v>
      </c>
      <c r="MW9" s="316">
        <f t="shared" si="71"/>
        <v>0.15943265403576981</v>
      </c>
    </row>
    <row r="10" spans="1:417" s="29" customFormat="1" x14ac:dyDescent="0.3">
      <c r="B10" s="190">
        <f t="shared" si="72"/>
        <v>5</v>
      </c>
      <c r="C10" s="317"/>
      <c r="D10" s="29" t="s">
        <v>197</v>
      </c>
      <c r="E10" s="210"/>
      <c r="F10" s="313">
        <f>GK13</f>
        <v>2794233.6245000004</v>
      </c>
      <c r="G10" s="318">
        <f t="shared" si="17"/>
        <v>0.13298732235908173</v>
      </c>
      <c r="H10" s="313">
        <f>GO13</f>
        <v>293716.37849999999</v>
      </c>
      <c r="I10" s="234">
        <f t="shared" si="18"/>
        <v>1.3918091997924169E-2</v>
      </c>
      <c r="J10" s="215">
        <f t="shared" si="54"/>
        <v>-2500517.2460000003</v>
      </c>
      <c r="K10" s="313">
        <f>HY26</f>
        <v>300606.60275352502</v>
      </c>
      <c r="L10" s="234">
        <f t="shared" si="19"/>
        <v>1.3827153217269454E-2</v>
      </c>
      <c r="M10" s="215">
        <f t="shared" si="55"/>
        <v>6890.2242535250261</v>
      </c>
      <c r="N10" s="313">
        <f>KC26</f>
        <v>314315.70141989313</v>
      </c>
      <c r="O10" s="234">
        <f t="shared" si="20"/>
        <v>1.4054258458773689E-2</v>
      </c>
      <c r="P10" s="215">
        <f t="shared" si="56"/>
        <v>13709.098666368111</v>
      </c>
      <c r="Q10" s="313">
        <f t="shared" si="57"/>
        <v>-2479917.9230801072</v>
      </c>
      <c r="R10" s="235">
        <f t="shared" si="58"/>
        <v>-0.89431881017330728</v>
      </c>
      <c r="S10" s="12"/>
      <c r="T10" s="13"/>
      <c r="U10" s="12"/>
      <c r="V10" s="174">
        <f>V8+1</f>
        <v>3</v>
      </c>
      <c r="W10" s="272" t="s">
        <v>174</v>
      </c>
      <c r="X10" s="273">
        <v>-2199378.2310579605</v>
      </c>
      <c r="Y10" s="273">
        <v>2461002.8956264583</v>
      </c>
      <c r="Z10" s="273">
        <v>11452200.645830095</v>
      </c>
      <c r="AA10" s="273">
        <f>SUM(X10:Z10)</f>
        <v>11713825.310398594</v>
      </c>
      <c r="AB10" s="273"/>
      <c r="AC10" s="12"/>
      <c r="AD10" s="13"/>
      <c r="AE10" s="12"/>
      <c r="AF10" s="319">
        <f t="shared" si="73"/>
        <v>4</v>
      </c>
      <c r="AG10" s="206" t="s">
        <v>24</v>
      </c>
      <c r="AK10" s="12"/>
      <c r="AL10" s="13"/>
      <c r="AM10" s="12"/>
      <c r="AN10" s="207">
        <v>5</v>
      </c>
      <c r="AO10" s="324"/>
      <c r="AQ10" s="29" t="s">
        <v>197</v>
      </c>
      <c r="AR10" s="210"/>
      <c r="AS10" s="326">
        <v>351000.77</v>
      </c>
      <c r="AT10" s="327">
        <v>3.4227935612112924E-2</v>
      </c>
      <c r="AU10" s="328"/>
      <c r="AV10" s="326">
        <v>392967.44999999995</v>
      </c>
      <c r="AW10" s="327">
        <v>3.6413574986312203E-2</v>
      </c>
      <c r="AX10" s="316">
        <f>AW10/AT10-1</f>
        <v>6.3855424965384211E-2</v>
      </c>
      <c r="AY10" s="328"/>
      <c r="AZ10" s="326">
        <v>419971.50999999995</v>
      </c>
      <c r="BA10" s="327">
        <v>3.2552478729062043E-2</v>
      </c>
      <c r="BB10" s="316">
        <f>BA10/AW10-1</f>
        <v>-0.10603452857077444</v>
      </c>
      <c r="BC10" s="328"/>
      <c r="BD10" s="326">
        <v>465783.3236</v>
      </c>
      <c r="BE10" s="327">
        <v>3.1672779070028398E-2</v>
      </c>
      <c r="BF10" s="316">
        <f>BE10/BA10-1</f>
        <v>-2.7024045276413E-2</v>
      </c>
      <c r="BG10" s="328"/>
      <c r="BH10" s="326">
        <v>1360261.3124000002</v>
      </c>
      <c r="BI10" s="327">
        <v>8.9511992892331985E-2</v>
      </c>
      <c r="BJ10" s="316">
        <f>BI10/BE10-1</f>
        <v>1.8261489998847686</v>
      </c>
      <c r="BK10" s="328"/>
      <c r="BL10" s="326">
        <v>1390376.9787000001</v>
      </c>
      <c r="BM10" s="327">
        <v>8.2655695684016636E-2</v>
      </c>
      <c r="BN10" s="316">
        <f>BM10/BI10-1</f>
        <v>-7.6596408891960732E-2</v>
      </c>
      <c r="BO10" s="328"/>
      <c r="BP10" s="326">
        <v>770218.05</v>
      </c>
      <c r="BQ10" s="327">
        <v>4.1525871275282955E-2</v>
      </c>
      <c r="BR10" s="316">
        <f>BQ10/BM10-1</f>
        <v>-0.49760423729259196</v>
      </c>
      <c r="BS10" s="328"/>
      <c r="BT10" s="29">
        <v>1472526.2590000001</v>
      </c>
      <c r="BU10" s="29">
        <v>7.5050191908761346E-2</v>
      </c>
      <c r="BV10" s="29">
        <f>BU10/BQ10-1</f>
        <v>0.8073116735164747</v>
      </c>
      <c r="BW10" s="329">
        <v>11886052.370000001</v>
      </c>
      <c r="BX10" s="330">
        <v>0.6140398725184244</v>
      </c>
      <c r="BY10" s="331">
        <f t="shared" si="60"/>
        <v>7.1817228830662252</v>
      </c>
      <c r="BZ10" s="331">
        <v>6021594.1700000009</v>
      </c>
      <c r="CA10" s="331">
        <v>0.29519107155012259</v>
      </c>
      <c r="CB10" s="331">
        <f t="shared" si="61"/>
        <v>-0.51926400098510661</v>
      </c>
      <c r="CC10" s="331">
        <v>2435490.3939</v>
      </c>
      <c r="CD10" s="331">
        <v>0.11718165526042415</v>
      </c>
      <c r="CE10" s="332">
        <f>CD10/CA10-1</f>
        <v>-0.60303116674541068</v>
      </c>
      <c r="CF10" s="313">
        <v>1116505.0026</v>
      </c>
      <c r="CG10" s="331">
        <v>5.3663312193258469E-2</v>
      </c>
      <c r="CH10" s="332">
        <f>CG10/CD10-1</f>
        <v>-0.54205022898851118</v>
      </c>
      <c r="CI10" s="313">
        <f t="shared" si="21"/>
        <v>2794233.6245000004</v>
      </c>
      <c r="CJ10" s="331">
        <f t="shared" si="21"/>
        <v>0.13298732235908173</v>
      </c>
      <c r="CK10" s="332">
        <f>CJ10/CG10-1</f>
        <v>1.4781795406171079</v>
      </c>
      <c r="CL10" s="333">
        <f t="shared" si="62"/>
        <v>6.9607620931999667</v>
      </c>
      <c r="CM10" s="332">
        <f>(CL10+1)^(1/(2023-2004))-1</f>
        <v>0.11536924597719</v>
      </c>
      <c r="CN10" s="12"/>
      <c r="CO10" s="13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20"/>
      <c r="DC10" s="12"/>
      <c r="DD10" s="378"/>
      <c r="DE10" s="379"/>
      <c r="DF10" s="380"/>
      <c r="DG10" s="12"/>
      <c r="DH10" s="380"/>
      <c r="DI10" s="12"/>
      <c r="DJ10" s="12"/>
      <c r="DK10" s="12"/>
      <c r="DL10" s="20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3"/>
      <c r="DZ10" s="12"/>
      <c r="EA10" s="207">
        <v>5</v>
      </c>
      <c r="EB10" s="381" t="s">
        <v>198</v>
      </c>
      <c r="EC10" s="214"/>
      <c r="ED10" s="214"/>
      <c r="EE10" s="214"/>
      <c r="EF10" s="214"/>
      <c r="EG10" s="313">
        <v>3377832.25</v>
      </c>
      <c r="EH10" s="214">
        <v>4835506.75</v>
      </c>
      <c r="EI10" s="214">
        <v>8203394.5</v>
      </c>
      <c r="EJ10" s="214">
        <v>16416733.5</v>
      </c>
      <c r="EK10" s="12"/>
      <c r="EL10" s="13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6"/>
      <c r="EY10" s="346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382" t="s">
        <v>199</v>
      </c>
      <c r="FM10" s="12"/>
      <c r="FN10" s="16"/>
      <c r="FO10" s="346"/>
      <c r="FP10" s="12"/>
      <c r="FQ10" s="207">
        <f t="shared" si="78"/>
        <v>5</v>
      </c>
      <c r="FR10" s="344"/>
      <c r="FS10" s="345" t="s">
        <v>200</v>
      </c>
      <c r="FT10" s="214">
        <v>26607.704999999998</v>
      </c>
      <c r="FU10" s="214">
        <v>135494.39000000001</v>
      </c>
      <c r="FV10" s="214">
        <v>53372.72</v>
      </c>
      <c r="FW10" s="215">
        <f t="shared" si="22"/>
        <v>215474.815</v>
      </c>
      <c r="FX10" s="214">
        <v>0</v>
      </c>
      <c r="FY10" s="214">
        <v>0</v>
      </c>
      <c r="FZ10" s="214">
        <v>0</v>
      </c>
      <c r="GA10" s="214">
        <v>0</v>
      </c>
      <c r="GB10" s="214">
        <v>0</v>
      </c>
      <c r="GC10" s="16"/>
      <c r="GD10" s="346"/>
      <c r="GE10" s="12"/>
      <c r="GF10" s="207">
        <v>5</v>
      </c>
      <c r="GG10" s="210" t="s">
        <v>201</v>
      </c>
      <c r="GH10" s="214">
        <v>14263.38</v>
      </c>
      <c r="GI10" s="214">
        <v>31680</v>
      </c>
      <c r="GJ10" s="214">
        <v>162253.08000000002</v>
      </c>
      <c r="GK10" s="215">
        <f t="shared" si="0"/>
        <v>208196.46000000002</v>
      </c>
      <c r="GL10" s="214">
        <v>0</v>
      </c>
      <c r="GM10" s="214">
        <v>31680</v>
      </c>
      <c r="GN10" s="214">
        <v>0</v>
      </c>
      <c r="GO10" s="214">
        <f>SUM(GL10:GN10)</f>
        <v>31680</v>
      </c>
      <c r="GP10" s="225"/>
      <c r="GQ10" s="226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230"/>
      <c r="HD10" s="383"/>
      <c r="HE10" s="12"/>
      <c r="HF10" s="12"/>
      <c r="HG10" s="207">
        <v>5</v>
      </c>
      <c r="HH10" s="231">
        <v>5</v>
      </c>
      <c r="HI10" s="231">
        <v>11</v>
      </c>
      <c r="HJ10" s="231">
        <v>12</v>
      </c>
      <c r="HK10" s="232">
        <v>29462843</v>
      </c>
      <c r="HL10" s="232">
        <v>31634467</v>
      </c>
      <c r="HM10" s="234">
        <f t="shared" si="1"/>
        <v>1.0909090909090908</v>
      </c>
      <c r="HN10" s="234">
        <f t="shared" si="2"/>
        <v>1.073707211486685</v>
      </c>
      <c r="HO10" s="235">
        <v>1</v>
      </c>
      <c r="HP10" s="235">
        <v>0</v>
      </c>
      <c r="HQ10" s="235">
        <v>0</v>
      </c>
      <c r="HR10" s="12"/>
      <c r="HS10" s="13"/>
      <c r="HT10" s="12"/>
      <c r="HU10" s="348">
        <v>5</v>
      </c>
      <c r="HV10" s="242">
        <v>5</v>
      </c>
      <c r="HW10" s="238">
        <f t="shared" si="3"/>
        <v>1.073707211486685</v>
      </c>
      <c r="HX10" s="214">
        <v>19202.32</v>
      </c>
      <c r="HY10" s="215">
        <f t="shared" si="23"/>
        <v>20617.669461275</v>
      </c>
      <c r="HZ10" s="214">
        <v>3275291.6500000004</v>
      </c>
      <c r="IA10" s="215">
        <v>4280399</v>
      </c>
      <c r="IB10" s="214">
        <v>1328111.2041800001</v>
      </c>
      <c r="IC10" s="215">
        <v>2004903</v>
      </c>
      <c r="ID10" s="214">
        <v>247500</v>
      </c>
      <c r="IE10" s="214">
        <v>270000</v>
      </c>
      <c r="IF10" s="214">
        <f t="shared" si="24"/>
        <v>1594813.5241800002</v>
      </c>
      <c r="IG10" s="214">
        <f t="shared" si="24"/>
        <v>2295520.669461275</v>
      </c>
      <c r="IH10" s="239"/>
      <c r="II10" s="240"/>
      <c r="IJ10" s="239"/>
      <c r="IK10" s="241">
        <v>5</v>
      </c>
      <c r="IL10" s="242">
        <v>5</v>
      </c>
      <c r="IM10" s="243">
        <f t="shared" si="4"/>
        <v>1.0909090909090908</v>
      </c>
      <c r="IN10" s="244">
        <f t="shared" si="4"/>
        <v>1.073707211486685</v>
      </c>
      <c r="IO10" s="214">
        <v>545331.65725081658</v>
      </c>
      <c r="IP10" s="215">
        <f t="shared" si="63"/>
        <v>585526.53304218699</v>
      </c>
      <c r="IQ10" s="214">
        <v>26629.924863314616</v>
      </c>
      <c r="IR10" s="215">
        <f t="shared" si="25"/>
        <v>28592.742367089479</v>
      </c>
      <c r="IS10" s="214">
        <v>492730.79274918331</v>
      </c>
      <c r="IT10" s="215">
        <f t="shared" si="26"/>
        <v>537524.50118092715</v>
      </c>
      <c r="IU10" s="214">
        <v>535657.9</v>
      </c>
      <c r="IV10" s="215">
        <v>615445.9</v>
      </c>
      <c r="IW10" s="214">
        <v>72186.401752256381</v>
      </c>
      <c r="IX10" s="215">
        <f t="shared" si="27"/>
        <v>77507.060132672748</v>
      </c>
      <c r="IY10" s="214">
        <v>73329.312000000005</v>
      </c>
      <c r="IZ10" s="215">
        <f t="shared" si="28"/>
        <v>78734.211107757117</v>
      </c>
      <c r="JA10" s="214">
        <v>46866.87</v>
      </c>
      <c r="JB10" s="215">
        <f t="shared" si="29"/>
        <v>50321.296298808978</v>
      </c>
      <c r="JC10" s="214">
        <v>243154.57115037407</v>
      </c>
      <c r="JD10" s="215">
        <f t="shared" si="30"/>
        <v>261076.8165501089</v>
      </c>
      <c r="JE10" s="214">
        <f t="shared" si="31"/>
        <v>2035887.4297659448</v>
      </c>
      <c r="JF10" s="214">
        <f t="shared" si="31"/>
        <v>2234729.0606795512</v>
      </c>
      <c r="JG10" s="245">
        <f t="shared" si="5"/>
        <v>7.0642222632660481</v>
      </c>
      <c r="JH10" s="12"/>
      <c r="JI10" s="13"/>
      <c r="JJ10" s="12"/>
      <c r="JK10" s="207">
        <v>5</v>
      </c>
      <c r="JL10" s="231">
        <v>5</v>
      </c>
      <c r="JM10" s="29">
        <f t="shared" si="6"/>
        <v>12</v>
      </c>
      <c r="JN10" s="29">
        <f t="shared" si="32"/>
        <v>12</v>
      </c>
      <c r="JO10" s="213">
        <f t="shared" si="7"/>
        <v>31634467</v>
      </c>
      <c r="JP10" s="213">
        <f t="shared" si="8"/>
        <v>32542650.478553902</v>
      </c>
      <c r="JQ10" s="247">
        <f t="shared" si="33"/>
        <v>1</v>
      </c>
      <c r="JR10" s="247">
        <f t="shared" si="34"/>
        <v>1.0287086701525239</v>
      </c>
      <c r="JS10" s="247">
        <f t="shared" si="35"/>
        <v>1.0435192348308098</v>
      </c>
      <c r="JT10" s="231" t="s">
        <v>403</v>
      </c>
      <c r="JU10" s="248"/>
      <c r="JV10" s="249"/>
      <c r="JW10" s="248"/>
      <c r="JX10" s="207">
        <v>5</v>
      </c>
      <c r="JY10" s="231">
        <v>5</v>
      </c>
      <c r="JZ10" s="250" t="str">
        <f t="shared" si="9"/>
        <v>Q4</v>
      </c>
      <c r="KA10" s="251">
        <f t="shared" si="10"/>
        <v>1.0435192348308098</v>
      </c>
      <c r="KB10" s="214">
        <f t="shared" si="36"/>
        <v>20617.669461275</v>
      </c>
      <c r="KC10" s="214">
        <f t="shared" si="37"/>
        <v>21514.93466022424</v>
      </c>
      <c r="KD10" s="214">
        <f t="shared" si="11"/>
        <v>4280399</v>
      </c>
      <c r="KE10" s="214">
        <f t="shared" si="38"/>
        <v>3585899.7828652714</v>
      </c>
      <c r="KF10" s="214">
        <f t="shared" si="12"/>
        <v>2004903</v>
      </c>
      <c r="KG10" s="214">
        <f t="shared" si="13"/>
        <v>1836198.3967899021</v>
      </c>
      <c r="KH10" s="214">
        <f t="shared" si="39"/>
        <v>270000</v>
      </c>
      <c r="KI10" s="214">
        <f t="shared" si="40"/>
        <v>69093.800221103491</v>
      </c>
      <c r="KJ10" s="214">
        <f t="shared" si="41"/>
        <v>2295520.669461275</v>
      </c>
      <c r="KK10" s="214">
        <f t="shared" si="41"/>
        <v>1926807.1316712298</v>
      </c>
      <c r="KL10" s="252"/>
      <c r="KM10" s="249"/>
      <c r="KN10" s="248"/>
      <c r="KO10" s="295">
        <f t="shared" si="64"/>
        <v>5</v>
      </c>
      <c r="KP10" s="296">
        <v>4</v>
      </c>
      <c r="KQ10" s="349">
        <f t="shared" si="65"/>
        <v>1</v>
      </c>
      <c r="KR10" s="349">
        <f t="shared" si="65"/>
        <v>1.0287086701525239</v>
      </c>
      <c r="KS10" s="301">
        <v>1.7</v>
      </c>
      <c r="KT10" s="270">
        <f t="shared" si="66"/>
        <v>560550.28326098784</v>
      </c>
      <c r="KU10" s="301">
        <v>1.7</v>
      </c>
      <c r="KV10" s="270">
        <f t="shared" si="42"/>
        <v>45256.803124530772</v>
      </c>
      <c r="KW10" s="301">
        <v>1.7</v>
      </c>
      <c r="KX10" s="270">
        <f t="shared" si="43"/>
        <v>158032.28542880545</v>
      </c>
      <c r="KY10" s="301">
        <v>1.7150382799999999</v>
      </c>
      <c r="KZ10" s="270">
        <f t="shared" si="67"/>
        <v>408437.94655997533</v>
      </c>
      <c r="LA10" s="301">
        <v>1.7</v>
      </c>
      <c r="LB10" s="270">
        <f t="shared" si="44"/>
        <v>82165.709394228586</v>
      </c>
      <c r="LC10" s="301">
        <v>1.7</v>
      </c>
      <c r="LD10" s="270">
        <f t="shared" si="45"/>
        <v>58130.559303031725</v>
      </c>
      <c r="LE10" s="301">
        <v>1.7</v>
      </c>
      <c r="LF10" s="270">
        <f t="shared" si="46"/>
        <v>22281.372521806989</v>
      </c>
      <c r="LG10" s="301">
        <v>1.7</v>
      </c>
      <c r="LH10" s="270">
        <f t="shared" si="47"/>
        <v>173603.86702022055</v>
      </c>
      <c r="LI10" s="273">
        <f t="shared" si="48"/>
        <v>1440168.2143055229</v>
      </c>
      <c r="LJ10" s="273">
        <f t="shared" si="68"/>
        <v>1508458.8266135873</v>
      </c>
      <c r="LK10" s="16"/>
      <c r="LL10" s="261"/>
      <c r="LM10" s="12"/>
      <c r="LN10" s="207">
        <v>5</v>
      </c>
      <c r="LO10" s="262">
        <v>5</v>
      </c>
      <c r="LP10" s="214">
        <f t="shared" si="14"/>
        <v>1594813.5241800002</v>
      </c>
      <c r="LQ10" s="214">
        <f t="shared" si="14"/>
        <v>2295520.669461275</v>
      </c>
      <c r="LR10" s="215">
        <f t="shared" si="15"/>
        <v>1926807.1316712298</v>
      </c>
      <c r="LS10" s="214">
        <f t="shared" si="16"/>
        <v>2035887.4297659448</v>
      </c>
      <c r="LT10" s="214">
        <f t="shared" si="16"/>
        <v>2234729.0606795512</v>
      </c>
      <c r="LU10" s="215">
        <f t="shared" si="49"/>
        <v>2331982.7594544995</v>
      </c>
      <c r="LV10" s="214">
        <f t="shared" si="50"/>
        <v>-441073.90558594465</v>
      </c>
      <c r="LW10" s="214">
        <f t="shared" si="50"/>
        <v>60791.608781723771</v>
      </c>
      <c r="LX10" s="214">
        <f t="shared" si="50"/>
        <v>-405175.62778326962</v>
      </c>
      <c r="LY10" s="12"/>
      <c r="LZ10" s="13"/>
      <c r="MA10" s="12"/>
      <c r="MB10" s="207">
        <f>MB9+1</f>
        <v>5</v>
      </c>
      <c r="MC10" s="384" t="s">
        <v>202</v>
      </c>
      <c r="MD10" s="385"/>
      <c r="ME10" s="12"/>
      <c r="MF10" s="13"/>
      <c r="MG10" s="12"/>
      <c r="MH10" s="264">
        <f t="shared" si="79"/>
        <v>4</v>
      </c>
      <c r="MI10" s="274" t="s">
        <v>197</v>
      </c>
      <c r="MJ10" s="273">
        <f>N10</f>
        <v>314315.70141989313</v>
      </c>
      <c r="MK10" s="352">
        <f t="shared" si="51"/>
        <v>1.4054258458773689E-2</v>
      </c>
      <c r="ML10" s="12"/>
      <c r="MM10" s="267">
        <f>MJ10</f>
        <v>314315.70141989313</v>
      </c>
      <c r="MN10" s="352">
        <f t="shared" si="52"/>
        <v>1.4054258458773689E-2</v>
      </c>
      <c r="MO10" s="12"/>
      <c r="MP10" s="13"/>
      <c r="MQ10" s="12"/>
      <c r="MR10" s="264">
        <f t="shared" si="80"/>
        <v>4</v>
      </c>
      <c r="MS10" s="274" t="str">
        <f t="shared" si="53"/>
        <v>Misc Revenue</v>
      </c>
      <c r="MT10" s="353">
        <v>335494.39786893321</v>
      </c>
      <c r="MU10" s="273">
        <f>MJ10</f>
        <v>314315.70141989313</v>
      </c>
      <c r="MV10" s="273">
        <f t="shared" si="70"/>
        <v>-21178.696449040086</v>
      </c>
      <c r="MW10" s="283">
        <f t="shared" si="71"/>
        <v>-6.3126825912943912E-2</v>
      </c>
      <c r="MX10" s="12"/>
      <c r="MY10" s="13"/>
      <c r="MZ10" s="12"/>
    </row>
    <row r="11" spans="1:417" x14ac:dyDescent="0.3">
      <c r="B11" s="152">
        <f>B10+1</f>
        <v>6</v>
      </c>
      <c r="C11" s="265"/>
      <c r="D11" s="12" t="s">
        <v>45</v>
      </c>
      <c r="E11" s="266"/>
      <c r="F11" s="267">
        <v>4258831.4400000032</v>
      </c>
      <c r="G11" s="268">
        <f t="shared" si="17"/>
        <v>0.20269263980588559</v>
      </c>
      <c r="H11" s="267">
        <v>4627220.5439811405</v>
      </c>
      <c r="I11" s="269">
        <f t="shared" si="18"/>
        <v>0.21926622394949019</v>
      </c>
      <c r="J11" s="270">
        <f>H11-F11</f>
        <v>368389.10398113728</v>
      </c>
      <c r="K11" s="267">
        <v>4751774.2208720138</v>
      </c>
      <c r="L11" s="269">
        <f t="shared" si="19"/>
        <v>0.21856975064430134</v>
      </c>
      <c r="M11" s="270">
        <f>K11-H11</f>
        <v>124553.67689087335</v>
      </c>
      <c r="N11" s="267">
        <f>MJ11</f>
        <v>4748367.2249999996</v>
      </c>
      <c r="O11" s="269">
        <f t="shared" si="20"/>
        <v>0.21231767912277874</v>
      </c>
      <c r="P11" s="270">
        <f t="shared" si="56"/>
        <v>-3406.9958720142022</v>
      </c>
      <c r="Q11" s="267">
        <f>N11-F11</f>
        <v>489535.78499999642</v>
      </c>
      <c r="R11" s="271">
        <f>O11/G11-1</f>
        <v>4.7485884668090783E-2</v>
      </c>
      <c r="V11" s="319">
        <f t="shared" si="59"/>
        <v>4</v>
      </c>
      <c r="W11" s="320" t="s">
        <v>181</v>
      </c>
      <c r="X11" s="234">
        <f>X10/$H$24*100</f>
        <v>-0.10422009393696924</v>
      </c>
      <c r="Y11" s="234">
        <f>Y10/$H$24*100</f>
        <v>0.11661748276828499</v>
      </c>
      <c r="Z11" s="234">
        <f>Z10/$H$24*100</f>
        <v>0.54267583912536166</v>
      </c>
      <c r="AA11" s="234">
        <f>AA10/$H$24*100</f>
        <v>0.55507322795667746</v>
      </c>
      <c r="AB11" s="269"/>
      <c r="AC11" s="276"/>
      <c r="AF11" s="174">
        <f t="shared" si="73"/>
        <v>5</v>
      </c>
      <c r="AG11" s="274" t="s">
        <v>78</v>
      </c>
      <c r="AH11" s="19">
        <f>CW9</f>
        <v>1849548.2213579051</v>
      </c>
      <c r="AI11" s="19">
        <f>DH9</f>
        <v>129555.84904340809</v>
      </c>
      <c r="AJ11" s="275">
        <f>DT9</f>
        <v>563910.42967116693</v>
      </c>
      <c r="AN11" s="386">
        <v>6</v>
      </c>
      <c r="AO11" s="387"/>
      <c r="AP11" s="387"/>
      <c r="AQ11" s="387" t="s">
        <v>203</v>
      </c>
      <c r="AR11" s="388"/>
      <c r="AS11" s="389">
        <v>41149542.24840001</v>
      </c>
      <c r="AT11" s="390">
        <v>4.0127088112831091</v>
      </c>
      <c r="AU11" s="391"/>
      <c r="AV11" s="389">
        <v>43536109.595200002</v>
      </c>
      <c r="AW11" s="390">
        <v>4.0341900871360252</v>
      </c>
      <c r="AX11" s="392">
        <f>AW11/AT11-1</f>
        <v>5.3533104102929663E-3</v>
      </c>
      <c r="AY11" s="391"/>
      <c r="AZ11" s="389">
        <v>52475468.259999998</v>
      </c>
      <c r="BA11" s="390">
        <v>4.067434394135975</v>
      </c>
      <c r="BB11" s="392">
        <f>BA11/AW11-1</f>
        <v>8.2406397026151268E-3</v>
      </c>
      <c r="BC11" s="391"/>
      <c r="BD11" s="389">
        <v>60296489.323600002</v>
      </c>
      <c r="BE11" s="390">
        <v>4.1000982394224748</v>
      </c>
      <c r="BF11" s="392">
        <f>BE11/BA11-1</f>
        <v>8.0305770471900129E-3</v>
      </c>
      <c r="BG11" s="391"/>
      <c r="BH11" s="389">
        <v>61146922.538433343</v>
      </c>
      <c r="BI11" s="390">
        <v>4.0237731131168939</v>
      </c>
      <c r="BJ11" s="392">
        <f>BI11/BE11-1</f>
        <v>-1.8615438423331909E-2</v>
      </c>
      <c r="BK11" s="391"/>
      <c r="BL11" s="389">
        <v>67411697.978699997</v>
      </c>
      <c r="BM11" s="390">
        <v>4.0075180177968992</v>
      </c>
      <c r="BN11" s="392">
        <f>BM11/BI11-1</f>
        <v>-4.0397643860697885E-3</v>
      </c>
      <c r="BO11" s="391"/>
      <c r="BP11" s="389">
        <v>82733345.540000066</v>
      </c>
      <c r="BQ11" s="390">
        <v>4.4605216108185832</v>
      </c>
      <c r="BR11" s="392">
        <f>BQ11/BM11-1</f>
        <v>0.11303844200074709</v>
      </c>
      <c r="BS11" s="391"/>
      <c r="BT11" s="393">
        <v>96023263.244399965</v>
      </c>
      <c r="BU11" s="393">
        <v>4.8940141407676769</v>
      </c>
      <c r="BV11" s="393">
        <f>BU11/BQ11-1</f>
        <v>9.7184268516421479E-2</v>
      </c>
      <c r="BW11" s="394">
        <v>108271476.32980001</v>
      </c>
      <c r="BX11" s="395">
        <v>5.5933628300959608</v>
      </c>
      <c r="BY11" s="396">
        <f t="shared" si="60"/>
        <v>0.14289878803222744</v>
      </c>
      <c r="BZ11" s="396">
        <v>110405938.53159995</v>
      </c>
      <c r="CA11" s="396">
        <v>5.4123287588874414</v>
      </c>
      <c r="CB11" s="396">
        <f t="shared" si="61"/>
        <v>-3.2365873036956816E-2</v>
      </c>
      <c r="CC11" s="396">
        <v>104395539.42615813</v>
      </c>
      <c r="CD11" s="396">
        <v>5.0229071493781339</v>
      </c>
      <c r="CE11" s="283">
        <f>CD11/CA11-1</f>
        <v>-7.1950841653853459E-2</v>
      </c>
      <c r="CF11" s="397">
        <v>111375540.52939449</v>
      </c>
      <c r="CG11" s="396">
        <v>5.3531156494630183</v>
      </c>
      <c r="CH11" s="283">
        <f>CG11/CD11-1</f>
        <v>6.574051445999074E-2</v>
      </c>
      <c r="CI11" s="397">
        <f>F12</f>
        <v>122570442.93490002</v>
      </c>
      <c r="CJ11" s="396">
        <f>G12</f>
        <v>5.833554812080453</v>
      </c>
      <c r="CK11" s="283">
        <f>CJ11/CG11-1</f>
        <v>8.9749445757935087E-2</v>
      </c>
      <c r="CL11" s="398">
        <f t="shared" si="62"/>
        <v>1.9786587222526353</v>
      </c>
      <c r="CM11" s="283">
        <f>(CL11+1)^(1/(2023-2004))-1</f>
        <v>5.912802635912584E-2</v>
      </c>
      <c r="CV11" s="275"/>
      <c r="CZ11" s="275"/>
      <c r="DB11" s="20"/>
      <c r="DD11" s="378"/>
      <c r="DE11" s="399"/>
      <c r="DF11" s="19"/>
      <c r="DG11" s="12"/>
      <c r="DL11" s="20"/>
      <c r="EA11" s="400">
        <v>6</v>
      </c>
      <c r="EB11" s="401" t="s">
        <v>204</v>
      </c>
      <c r="EC11" s="402"/>
      <c r="ED11" s="402"/>
      <c r="EE11" s="402"/>
      <c r="EF11" s="402"/>
      <c r="EG11" s="403">
        <v>1576327.4500000004</v>
      </c>
      <c r="EH11" s="402">
        <v>2448727.4</v>
      </c>
      <c r="EI11" s="402">
        <v>4865037.75</v>
      </c>
      <c r="EJ11" s="402">
        <v>8890092.6000000015</v>
      </c>
      <c r="EX11" s="16"/>
      <c r="EY11" s="346"/>
      <c r="FN11" s="16"/>
      <c r="FO11" s="346"/>
      <c r="FQ11" s="264">
        <f t="shared" si="78"/>
        <v>6</v>
      </c>
      <c r="FR11" s="292"/>
      <c r="FS11" s="293" t="s">
        <v>205</v>
      </c>
      <c r="FT11" s="273">
        <v>45268.255000000005</v>
      </c>
      <c r="FU11" s="273">
        <v>46321.380000000005</v>
      </c>
      <c r="FV11" s="273">
        <v>55188.42</v>
      </c>
      <c r="FW11" s="270">
        <f t="shared" si="22"/>
        <v>146778.05499999999</v>
      </c>
      <c r="FX11" s="273">
        <v>46449.505000000005</v>
      </c>
      <c r="FY11" s="273">
        <v>46321.380000000005</v>
      </c>
      <c r="FZ11" s="273">
        <v>55188.42</v>
      </c>
      <c r="GA11" s="273">
        <v>147959.30499999999</v>
      </c>
      <c r="GB11" s="273">
        <v>147959.30499999999</v>
      </c>
      <c r="GC11" s="16"/>
      <c r="GD11" s="226"/>
      <c r="GF11" s="404">
        <v>6</v>
      </c>
      <c r="GG11" s="405" t="s">
        <v>206</v>
      </c>
      <c r="GH11" s="289">
        <v>105070.67</v>
      </c>
      <c r="GI11" s="289">
        <v>175192.16999999998</v>
      </c>
      <c r="GJ11" s="289">
        <v>172312.25999999998</v>
      </c>
      <c r="GK11" s="288">
        <f>SUM(GH11:GJ11)</f>
        <v>452575.1</v>
      </c>
      <c r="GL11" s="289">
        <v>0</v>
      </c>
      <c r="GM11" s="289">
        <v>0</v>
      </c>
      <c r="GN11" s="289">
        <v>0</v>
      </c>
      <c r="GO11" s="289">
        <f>SUM(GL11:GN11)</f>
        <v>0</v>
      </c>
      <c r="GP11" s="225"/>
      <c r="GQ11" s="226"/>
      <c r="HG11" s="264">
        <v>6</v>
      </c>
      <c r="HH11" s="248">
        <v>6</v>
      </c>
      <c r="HI11" s="248">
        <v>10</v>
      </c>
      <c r="HJ11" s="248">
        <v>10</v>
      </c>
      <c r="HK11" s="275">
        <v>29988386</v>
      </c>
      <c r="HL11" s="275">
        <v>29611916</v>
      </c>
      <c r="HM11" s="269">
        <f t="shared" si="1"/>
        <v>1</v>
      </c>
      <c r="HN11" s="269">
        <f t="shared" si="2"/>
        <v>0.98744613998232511</v>
      </c>
      <c r="HO11" s="271">
        <v>1</v>
      </c>
      <c r="HP11" s="271">
        <v>0</v>
      </c>
      <c r="HQ11" s="271">
        <v>0</v>
      </c>
      <c r="HU11" s="295">
        <v>6</v>
      </c>
      <c r="HV11" s="296">
        <v>6</v>
      </c>
      <c r="HW11" s="297">
        <f t="shared" si="3"/>
        <v>0.98744613998232511</v>
      </c>
      <c r="HX11" s="273">
        <v>11845</v>
      </c>
      <c r="HY11" s="270">
        <f t="shared" si="23"/>
        <v>11696.299528090642</v>
      </c>
      <c r="HZ11" s="273">
        <v>3236328</v>
      </c>
      <c r="IA11" s="270">
        <v>3503438</v>
      </c>
      <c r="IB11" s="273">
        <v>1333543.1881999997</v>
      </c>
      <c r="IC11" s="270">
        <v>1573040</v>
      </c>
      <c r="ID11" s="273">
        <v>225000</v>
      </c>
      <c r="IE11" s="273">
        <v>225000</v>
      </c>
      <c r="IF11" s="273">
        <f t="shared" si="24"/>
        <v>1570388.1881999997</v>
      </c>
      <c r="IG11" s="273">
        <f t="shared" si="24"/>
        <v>1809736.2995280907</v>
      </c>
      <c r="IH11" s="239"/>
      <c r="II11" s="240"/>
      <c r="IJ11" s="239"/>
      <c r="IK11" s="298">
        <v>6</v>
      </c>
      <c r="IL11" s="296">
        <v>6</v>
      </c>
      <c r="IM11" s="299">
        <f t="shared" si="4"/>
        <v>1</v>
      </c>
      <c r="IN11" s="300">
        <f t="shared" si="4"/>
        <v>0.98744613998232511</v>
      </c>
      <c r="IO11" s="273">
        <v>514623.33273794875</v>
      </c>
      <c r="IP11" s="270">
        <f t="shared" si="63"/>
        <v>508162.8234569272</v>
      </c>
      <c r="IQ11" s="273">
        <v>23317.790678393918</v>
      </c>
      <c r="IR11" s="270">
        <f t="shared" si="25"/>
        <v>23025.062398295915</v>
      </c>
      <c r="IS11" s="273">
        <v>291370.18676205125</v>
      </c>
      <c r="IT11" s="270">
        <f t="shared" si="26"/>
        <v>291370.18676205125</v>
      </c>
      <c r="IU11" s="273">
        <v>619355.1</v>
      </c>
      <c r="IV11" s="270">
        <v>619355.1</v>
      </c>
      <c r="IW11" s="273">
        <v>40549.492921860394</v>
      </c>
      <c r="IX11" s="270">
        <f t="shared" si="27"/>
        <v>40040.440263931661</v>
      </c>
      <c r="IY11" s="273">
        <v>36429.991250000006</v>
      </c>
      <c r="IZ11" s="270">
        <f t="shared" si="28"/>
        <v>35972.654239402385</v>
      </c>
      <c r="JA11" s="273">
        <v>14744.61</v>
      </c>
      <c r="JB11" s="270">
        <f t="shared" si="29"/>
        <v>14559.508230044792</v>
      </c>
      <c r="JC11" s="273">
        <v>171095.9835</v>
      </c>
      <c r="JD11" s="270">
        <f t="shared" si="30"/>
        <v>168948.06847355459</v>
      </c>
      <c r="JE11" s="273">
        <f t="shared" si="31"/>
        <v>1711486.4878502546</v>
      </c>
      <c r="JF11" s="273">
        <f t="shared" si="31"/>
        <v>1701433.8438242078</v>
      </c>
      <c r="JG11" s="301">
        <f t="shared" si="5"/>
        <v>5.7457742478541673</v>
      </c>
      <c r="JK11" s="264">
        <v>6</v>
      </c>
      <c r="JL11" s="248">
        <v>6</v>
      </c>
      <c r="JM11" s="12">
        <f t="shared" si="6"/>
        <v>10</v>
      </c>
      <c r="JN11" s="12">
        <f t="shared" si="32"/>
        <v>10</v>
      </c>
      <c r="JO11" s="302">
        <f t="shared" si="7"/>
        <v>29611916</v>
      </c>
      <c r="JP11" s="302">
        <f t="shared" si="8"/>
        <v>30462034.729028244</v>
      </c>
      <c r="JQ11" s="303">
        <f t="shared" si="33"/>
        <v>1</v>
      </c>
      <c r="JR11" s="303">
        <f t="shared" si="34"/>
        <v>1.0287086701525239</v>
      </c>
      <c r="JS11" s="303">
        <f t="shared" si="35"/>
        <v>1.0424076735823893</v>
      </c>
      <c r="JT11" s="248" t="s">
        <v>241</v>
      </c>
      <c r="JU11" s="248"/>
      <c r="JV11" s="249"/>
      <c r="JW11" s="248"/>
      <c r="JX11" s="264">
        <v>6</v>
      </c>
      <c r="JY11" s="248">
        <v>6</v>
      </c>
      <c r="JZ11" s="377" t="str">
        <f t="shared" si="9"/>
        <v>Q3</v>
      </c>
      <c r="KA11" s="305">
        <f t="shared" si="10"/>
        <v>1.0424076735823893</v>
      </c>
      <c r="KB11" s="289">
        <f t="shared" si="36"/>
        <v>11696.299528090642</v>
      </c>
      <c r="KC11" s="289">
        <f t="shared" si="37"/>
        <v>12192.312380599764</v>
      </c>
      <c r="KD11" s="289">
        <f t="shared" si="11"/>
        <v>3503438</v>
      </c>
      <c r="KE11" s="289">
        <f t="shared" si="38"/>
        <v>3356635.1269526579</v>
      </c>
      <c r="KF11" s="289">
        <f t="shared" si="12"/>
        <v>1573040</v>
      </c>
      <c r="KG11" s="289">
        <f t="shared" si="13"/>
        <v>1718800.9737947301</v>
      </c>
      <c r="KH11" s="289">
        <f t="shared" si="39"/>
        <v>225000</v>
      </c>
      <c r="KI11" s="289">
        <f t="shared" si="40"/>
        <v>64676.285150247619</v>
      </c>
      <c r="KJ11" s="289">
        <f t="shared" si="41"/>
        <v>1809736.2995280907</v>
      </c>
      <c r="KK11" s="289">
        <f t="shared" si="41"/>
        <v>1795669.5713255776</v>
      </c>
      <c r="KL11" s="252"/>
      <c r="KM11" s="249"/>
      <c r="KN11" s="248"/>
      <c r="KO11" s="306">
        <f t="shared" si="64"/>
        <v>6</v>
      </c>
      <c r="KP11" s="307">
        <v>5</v>
      </c>
      <c r="KQ11" s="308">
        <f t="shared" si="65"/>
        <v>1</v>
      </c>
      <c r="KR11" s="308">
        <f t="shared" si="65"/>
        <v>1.0287086701525239</v>
      </c>
      <c r="KS11" s="245">
        <v>1.7</v>
      </c>
      <c r="KT11" s="215">
        <f t="shared" si="66"/>
        <v>621414.30681581446</v>
      </c>
      <c r="KU11" s="245">
        <v>1.7</v>
      </c>
      <c r="KV11" s="215">
        <f t="shared" si="42"/>
        <v>30345.233179600262</v>
      </c>
      <c r="KW11" s="245">
        <v>1.7</v>
      </c>
      <c r="KX11" s="215">
        <f t="shared" si="43"/>
        <v>554549.7739833548</v>
      </c>
      <c r="KY11" s="245">
        <v>1.7150382799999999</v>
      </c>
      <c r="KZ11" s="215">
        <f t="shared" si="67"/>
        <v>629371.76262318064</v>
      </c>
      <c r="LA11" s="245">
        <v>1.7</v>
      </c>
      <c r="LB11" s="215">
        <f t="shared" si="44"/>
        <v>82257.580703360349</v>
      </c>
      <c r="LC11" s="245">
        <v>1.7</v>
      </c>
      <c r="LD11" s="215">
        <f t="shared" si="45"/>
        <v>83559.945548516684</v>
      </c>
      <c r="LE11" s="245">
        <v>1.7</v>
      </c>
      <c r="LF11" s="215">
        <f t="shared" si="46"/>
        <v>53405.561819936476</v>
      </c>
      <c r="LG11" s="245">
        <v>1.7</v>
      </c>
      <c r="LH11" s="309">
        <f t="shared" si="47"/>
        <v>277078.59478073625</v>
      </c>
      <c r="LI11" s="310">
        <f t="shared" si="48"/>
        <v>2234729.0606795512</v>
      </c>
      <c r="LJ11" s="310">
        <f t="shared" si="68"/>
        <v>2331982.7594544995</v>
      </c>
      <c r="LK11" s="16"/>
      <c r="LL11" s="261"/>
      <c r="LN11" s="264">
        <v>6</v>
      </c>
      <c r="LO11" s="311">
        <v>6</v>
      </c>
      <c r="LP11" s="273">
        <f t="shared" si="14"/>
        <v>1570388.1881999997</v>
      </c>
      <c r="LQ11" s="273">
        <f t="shared" si="14"/>
        <v>1809736.2995280907</v>
      </c>
      <c r="LR11" s="270">
        <f t="shared" si="15"/>
        <v>1795669.5713255776</v>
      </c>
      <c r="LS11" s="273">
        <f t="shared" si="16"/>
        <v>1711486.4878502546</v>
      </c>
      <c r="LT11" s="273">
        <f t="shared" si="16"/>
        <v>1701433.8438242078</v>
      </c>
      <c r="LU11" s="270">
        <f t="shared" si="49"/>
        <v>1773587.6948951348</v>
      </c>
      <c r="LV11" s="273">
        <f t="shared" si="50"/>
        <v>-141098.29965025489</v>
      </c>
      <c r="LW11" s="273">
        <f>LQ11-LT11</f>
        <v>108302.45570388297</v>
      </c>
      <c r="LX11" s="273">
        <f t="shared" si="50"/>
        <v>22081.87643044279</v>
      </c>
      <c r="MB11" s="264">
        <f>MB10+1</f>
        <v>6</v>
      </c>
      <c r="MC11" s="274" t="s">
        <v>207</v>
      </c>
      <c r="MD11" s="407">
        <v>5.9299999999999999E-2</v>
      </c>
      <c r="MH11" s="207">
        <f>MH10+1</f>
        <v>5</v>
      </c>
      <c r="MI11" s="322" t="s">
        <v>45</v>
      </c>
      <c r="MJ11" s="214">
        <f>'Phase II Schedules'!II4*'Phase II Schedules'!IH4</f>
        <v>4748367.2249999996</v>
      </c>
      <c r="MK11" s="312">
        <f t="shared" si="51"/>
        <v>0.21231767912277874</v>
      </c>
      <c r="ML11" s="29"/>
      <c r="MM11" s="313">
        <f>MJ11</f>
        <v>4748367.2249999996</v>
      </c>
      <c r="MN11" s="312">
        <f t="shared" si="52"/>
        <v>0.21231767912277874</v>
      </c>
      <c r="MR11" s="207">
        <f t="shared" si="80"/>
        <v>5</v>
      </c>
      <c r="MS11" s="322" t="str">
        <f t="shared" si="53"/>
        <v>Depot Viability Handling Commissions</v>
      </c>
      <c r="MT11" s="315">
        <v>4749598.8</v>
      </c>
      <c r="MU11" s="214">
        <f>MM11</f>
        <v>4748367.2249999996</v>
      </c>
      <c r="MV11" s="214">
        <f>MU11-MT11</f>
        <v>-1231.5750000001863</v>
      </c>
      <c r="MW11" s="332">
        <f>MV11/MT11</f>
        <v>-2.593008487369894E-4</v>
      </c>
    </row>
    <row r="12" spans="1:417" s="29" customFormat="1" ht="17.100000000000001" customHeight="1" thickBot="1" x14ac:dyDescent="0.35">
      <c r="B12" s="190">
        <f>B11+1</f>
        <v>7</v>
      </c>
      <c r="C12" s="209" t="s">
        <v>208</v>
      </c>
      <c r="D12" s="208"/>
      <c r="E12" s="222"/>
      <c r="F12" s="313">
        <f>F9+F10+F11</f>
        <v>122570442.93490002</v>
      </c>
      <c r="G12" s="318">
        <f t="shared" si="17"/>
        <v>5.833554812080453</v>
      </c>
      <c r="H12" s="313">
        <f>H9+H10+H11</f>
        <v>120832958.95690666</v>
      </c>
      <c r="I12" s="234">
        <f t="shared" si="18"/>
        <v>5.7258102109672508</v>
      </c>
      <c r="J12" s="215">
        <f t="shared" si="54"/>
        <v>-1737483.9779933542</v>
      </c>
      <c r="K12" s="313">
        <f>K9+K10+K11</f>
        <v>122917050.82362553</v>
      </c>
      <c r="L12" s="234">
        <f t="shared" si="19"/>
        <v>5.6538774570653931</v>
      </c>
      <c r="M12" s="215">
        <f t="shared" si="55"/>
        <v>2084091.8667188734</v>
      </c>
      <c r="N12" s="313">
        <f>N9+N10+N11</f>
        <v>131252648.7122599</v>
      </c>
      <c r="O12" s="234">
        <f t="shared" si="20"/>
        <v>5.8688084625351182</v>
      </c>
      <c r="P12" s="215">
        <f t="shared" si="56"/>
        <v>8335597.8886343688</v>
      </c>
      <c r="Q12" s="313">
        <f t="shared" si="57"/>
        <v>8682205.777359888</v>
      </c>
      <c r="R12" s="235">
        <f t="shared" si="58"/>
        <v>6.0432534861349918E-3</v>
      </c>
      <c r="S12" s="12"/>
      <c r="T12" s="13"/>
      <c r="U12" s="12"/>
      <c r="V12" s="174">
        <f t="shared" si="59"/>
        <v>5</v>
      </c>
      <c r="W12" s="408" t="s">
        <v>134</v>
      </c>
      <c r="X12" s="273">
        <f>X10-X7</f>
        <v>-1657242.7138745431</v>
      </c>
      <c r="Y12" s="273">
        <f>Y10-Y7</f>
        <v>-979422.40961739747</v>
      </c>
      <c r="Z12" s="273">
        <f>Z10-Z7</f>
        <v>1343655.4635905437</v>
      </c>
      <c r="AA12" s="273">
        <f>AA10-AA7</f>
        <v>-1293009.6599013954</v>
      </c>
      <c r="AB12" s="273"/>
      <c r="AC12" s="277"/>
      <c r="AD12" s="13"/>
      <c r="AE12" s="12"/>
      <c r="AF12" s="319">
        <f t="shared" si="73"/>
        <v>6</v>
      </c>
      <c r="AG12" s="322" t="s">
        <v>182</v>
      </c>
      <c r="AH12" s="323">
        <f>AH11*3600/$H$24</f>
        <v>3.15514772282414</v>
      </c>
      <c r="AI12" s="323">
        <f>AI11*3600/$H$24</f>
        <v>0.22100956188519758</v>
      </c>
      <c r="AJ12" s="323">
        <f>AJ11*3600/$H$24</f>
        <v>0.96197584226676325</v>
      </c>
      <c r="AK12" s="12"/>
      <c r="AL12" s="409"/>
      <c r="AM12" s="12"/>
      <c r="AN12" s="207">
        <v>7</v>
      </c>
      <c r="AO12" s="208"/>
      <c r="AP12" s="206" t="s">
        <v>209</v>
      </c>
      <c r="AQ12" s="7"/>
      <c r="AR12" s="210"/>
      <c r="AS12" s="326"/>
      <c r="AT12" s="327"/>
      <c r="AU12" s="328"/>
      <c r="AV12" s="326"/>
      <c r="AW12" s="327"/>
      <c r="AX12" s="316"/>
      <c r="AY12" s="328"/>
      <c r="AZ12" s="326"/>
      <c r="BA12" s="410"/>
      <c r="BB12" s="316"/>
      <c r="BC12" s="328"/>
      <c r="BD12" s="326"/>
      <c r="BE12" s="410"/>
      <c r="BF12" s="316"/>
      <c r="BG12" s="328"/>
      <c r="BH12" s="326"/>
      <c r="BI12" s="410"/>
      <c r="BJ12" s="316"/>
      <c r="BK12" s="328"/>
      <c r="BL12" s="326"/>
      <c r="BM12" s="410"/>
      <c r="BN12" s="316"/>
      <c r="BO12" s="328"/>
      <c r="BP12" s="326"/>
      <c r="BQ12" s="410"/>
      <c r="BR12" s="316"/>
      <c r="BS12" s="328"/>
      <c r="BW12" s="329"/>
      <c r="BX12" s="330"/>
      <c r="BY12" s="331"/>
      <c r="BZ12" s="331"/>
      <c r="CA12" s="331"/>
      <c r="CB12" s="331"/>
      <c r="CC12" s="331"/>
      <c r="CD12" s="331"/>
      <c r="CE12" s="411"/>
      <c r="CF12" s="313"/>
      <c r="CG12" s="331"/>
      <c r="CH12" s="411"/>
      <c r="CI12" s="313"/>
      <c r="CJ12" s="331"/>
      <c r="CK12" s="411"/>
      <c r="CL12" s="333"/>
      <c r="CM12" s="411"/>
      <c r="CN12" s="12"/>
      <c r="CO12" s="13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275"/>
      <c r="DB12" s="20"/>
      <c r="DC12" s="12"/>
      <c r="DD12" s="12"/>
      <c r="DE12" s="12"/>
      <c r="DF12" s="12"/>
      <c r="DG12" s="12"/>
      <c r="DH12" s="12"/>
      <c r="DI12" s="12"/>
      <c r="DJ12" s="12"/>
      <c r="DK12" s="12"/>
      <c r="DL12" s="20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3"/>
      <c r="DZ12" s="12"/>
      <c r="EA12" s="412">
        <v>7</v>
      </c>
      <c r="EB12" s="413" t="s">
        <v>72</v>
      </c>
      <c r="EC12" s="414">
        <f t="shared" ref="EC12:EJ12" si="81">SUM(EC7:EC11)</f>
        <v>3564769.6054000002</v>
      </c>
      <c r="ED12" s="414">
        <f t="shared" si="81"/>
        <v>6502947.9329999983</v>
      </c>
      <c r="EE12" s="414">
        <f t="shared" si="81"/>
        <v>14660952.788000001</v>
      </c>
      <c r="EF12" s="415">
        <f t="shared" si="81"/>
        <v>24728670.326400001</v>
      </c>
      <c r="EG12" s="414">
        <f t="shared" si="81"/>
        <v>4954159.7</v>
      </c>
      <c r="EH12" s="414">
        <f t="shared" si="81"/>
        <v>7284234.1500000004</v>
      </c>
      <c r="EI12" s="414">
        <f t="shared" si="81"/>
        <v>13068432.25</v>
      </c>
      <c r="EJ12" s="414">
        <f t="shared" si="81"/>
        <v>25306826.100000001</v>
      </c>
      <c r="EK12" s="12"/>
      <c r="EL12" s="13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6"/>
      <c r="EY12" s="346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6"/>
      <c r="FO12" s="346"/>
      <c r="FP12" s="12"/>
      <c r="FQ12" s="207">
        <f t="shared" si="78"/>
        <v>7</v>
      </c>
      <c r="FR12" s="344"/>
      <c r="FS12" s="345" t="s">
        <v>210</v>
      </c>
      <c r="FT12" s="214">
        <v>206246.67349999998</v>
      </c>
      <c r="FU12" s="214">
        <v>357973.23000000004</v>
      </c>
      <c r="FV12" s="214">
        <v>494533.71260000003</v>
      </c>
      <c r="FW12" s="215">
        <f t="shared" si="22"/>
        <v>1058753.6161</v>
      </c>
      <c r="FX12" s="214">
        <v>222245.13923333329</v>
      </c>
      <c r="FY12" s="214">
        <v>357973.23000000004</v>
      </c>
      <c r="FZ12" s="214">
        <v>495072.37926666671</v>
      </c>
      <c r="GA12" s="214">
        <v>1075290.7485</v>
      </c>
      <c r="GB12" s="214">
        <v>1075290.7485</v>
      </c>
      <c r="GC12" s="16"/>
      <c r="GD12" s="346"/>
      <c r="GE12" s="12"/>
      <c r="GF12" s="334">
        <v>7</v>
      </c>
      <c r="GG12" s="343" t="s">
        <v>211</v>
      </c>
      <c r="GH12" s="337">
        <v>431286.50150000001</v>
      </c>
      <c r="GI12" s="337">
        <v>511749.14</v>
      </c>
      <c r="GJ12" s="337">
        <v>815965.92000000016</v>
      </c>
      <c r="GK12" s="338">
        <f t="shared" si="0"/>
        <v>1759001.5615000003</v>
      </c>
      <c r="GL12" s="337">
        <v>179686.49850000002</v>
      </c>
      <c r="GM12" s="337">
        <v>37363.31</v>
      </c>
      <c r="GN12" s="337">
        <v>32222.21</v>
      </c>
      <c r="GO12" s="337">
        <f>SUM(GL12:GN12)</f>
        <v>249272.01850000001</v>
      </c>
      <c r="GP12" s="16"/>
      <c r="GQ12" s="226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3"/>
      <c r="HE12" s="12"/>
      <c r="HF12" s="12"/>
      <c r="HG12" s="207">
        <v>7</v>
      </c>
      <c r="HH12" s="231">
        <v>7</v>
      </c>
      <c r="HI12" s="231">
        <v>11</v>
      </c>
      <c r="HJ12" s="231">
        <v>11</v>
      </c>
      <c r="HK12" s="232">
        <v>37772451</v>
      </c>
      <c r="HL12" s="232">
        <v>37538418</v>
      </c>
      <c r="HM12" s="234">
        <f t="shared" si="1"/>
        <v>1</v>
      </c>
      <c r="HN12" s="234">
        <f t="shared" si="2"/>
        <v>0.99380413518836785</v>
      </c>
      <c r="HO12" s="235">
        <v>0.90909090909090906</v>
      </c>
      <c r="HP12" s="235">
        <v>9.0909090909090912E-2</v>
      </c>
      <c r="HQ12" s="235">
        <v>0</v>
      </c>
      <c r="HR12" s="12"/>
      <c r="HS12" s="13"/>
      <c r="HT12" s="12"/>
      <c r="HU12" s="348">
        <v>7</v>
      </c>
      <c r="HV12" s="242">
        <v>7</v>
      </c>
      <c r="HW12" s="238">
        <f t="shared" si="3"/>
        <v>0.99380413518836785</v>
      </c>
      <c r="HX12" s="214">
        <v>225.17999999999998</v>
      </c>
      <c r="HY12" s="215">
        <f t="shared" si="23"/>
        <v>223.78481516171666</v>
      </c>
      <c r="HZ12" s="214">
        <v>4099747</v>
      </c>
      <c r="IA12" s="215">
        <v>4068017</v>
      </c>
      <c r="IB12" s="214">
        <v>1821016.8422999997</v>
      </c>
      <c r="IC12" s="215">
        <v>1878623</v>
      </c>
      <c r="ID12" s="214">
        <v>247500</v>
      </c>
      <c r="IE12" s="214">
        <v>247500</v>
      </c>
      <c r="IF12" s="214">
        <f t="shared" si="24"/>
        <v>2068742.0222999996</v>
      </c>
      <c r="IG12" s="214">
        <f t="shared" si="24"/>
        <v>2126346.7848151615</v>
      </c>
      <c r="IH12" s="239"/>
      <c r="II12" s="240"/>
      <c r="IJ12" s="239"/>
      <c r="IK12" s="241">
        <v>7</v>
      </c>
      <c r="IL12" s="242">
        <v>7</v>
      </c>
      <c r="IM12" s="243">
        <f t="shared" si="4"/>
        <v>1</v>
      </c>
      <c r="IN12" s="244">
        <f t="shared" si="4"/>
        <v>0.99380413518836785</v>
      </c>
      <c r="IO12" s="214">
        <v>707768.54775698716</v>
      </c>
      <c r="IP12" s="215">
        <f t="shared" si="63"/>
        <v>703383.30951715971</v>
      </c>
      <c r="IQ12" s="214">
        <v>125949.48319662552</v>
      </c>
      <c r="IR12" s="215">
        <f t="shared" si="25"/>
        <v>125169.1172256443</v>
      </c>
      <c r="IS12" s="214">
        <v>312807.21624301292</v>
      </c>
      <c r="IT12" s="215">
        <f t="shared" si="26"/>
        <v>312807.21624301292</v>
      </c>
      <c r="IU12" s="214">
        <v>647946.9</v>
      </c>
      <c r="IV12" s="215">
        <v>647946.9</v>
      </c>
      <c r="IW12" s="214">
        <v>65067.177989909222</v>
      </c>
      <c r="IX12" s="215">
        <f t="shared" si="27"/>
        <v>64664.030551409334</v>
      </c>
      <c r="IY12" s="214">
        <v>55048.61</v>
      </c>
      <c r="IZ12" s="215">
        <f t="shared" si="28"/>
        <v>54707.536254371742</v>
      </c>
      <c r="JA12" s="214">
        <v>108545.81</v>
      </c>
      <c r="JB12" s="215">
        <f t="shared" si="29"/>
        <v>107873.27483537089</v>
      </c>
      <c r="JC12" s="214">
        <v>272812.78158900893</v>
      </c>
      <c r="JD12" s="215">
        <f t="shared" si="30"/>
        <v>271122.47047539812</v>
      </c>
      <c r="JE12" s="214">
        <f t="shared" si="31"/>
        <v>2295946.5267755436</v>
      </c>
      <c r="JF12" s="214">
        <f t="shared" si="31"/>
        <v>2287673.8551023668</v>
      </c>
      <c r="JG12" s="245">
        <f t="shared" si="5"/>
        <v>6.0942202068887577</v>
      </c>
      <c r="JH12" s="12"/>
      <c r="JI12" s="13"/>
      <c r="JJ12" s="12"/>
      <c r="JK12" s="207">
        <v>7</v>
      </c>
      <c r="JL12" s="231">
        <v>7</v>
      </c>
      <c r="JM12" s="29">
        <f t="shared" si="6"/>
        <v>11</v>
      </c>
      <c r="JN12" s="29">
        <f t="shared" si="32"/>
        <v>11</v>
      </c>
      <c r="JO12" s="213">
        <f t="shared" si="7"/>
        <v>37538418</v>
      </c>
      <c r="JP12" s="213">
        <f t="shared" si="8"/>
        <v>38616096.060409568</v>
      </c>
      <c r="JQ12" s="247">
        <f t="shared" si="33"/>
        <v>1</v>
      </c>
      <c r="JR12" s="247">
        <f t="shared" si="34"/>
        <v>1.0287086701525239</v>
      </c>
      <c r="JS12" s="247">
        <f t="shared" si="35"/>
        <v>1.0465874482183799</v>
      </c>
      <c r="JT12" s="231" t="s">
        <v>241</v>
      </c>
      <c r="JU12" s="248"/>
      <c r="JV12" s="249"/>
      <c r="JW12" s="248"/>
      <c r="JX12" s="207">
        <v>7</v>
      </c>
      <c r="JY12" s="231">
        <v>7</v>
      </c>
      <c r="JZ12" s="250" t="str">
        <f t="shared" si="9"/>
        <v>Q3</v>
      </c>
      <c r="KA12" s="251">
        <f t="shared" si="10"/>
        <v>1.0465874482183799</v>
      </c>
      <c r="KB12" s="214">
        <f t="shared" si="36"/>
        <v>223.78481516171666</v>
      </c>
      <c r="KC12" s="214">
        <f t="shared" si="37"/>
        <v>234.21037865012286</v>
      </c>
      <c r="KD12" s="214">
        <f t="shared" si="11"/>
        <v>4068017</v>
      </c>
      <c r="KE12" s="214">
        <f t="shared" si="38"/>
        <v>4255137.4409218216</v>
      </c>
      <c r="KF12" s="214">
        <f t="shared" si="12"/>
        <v>1878623</v>
      </c>
      <c r="KG12" s="214">
        <f t="shared" si="13"/>
        <v>2178888.708623705</v>
      </c>
      <c r="KH12" s="214">
        <f t="shared" si="39"/>
        <v>247500</v>
      </c>
      <c r="KI12" s="214">
        <f t="shared" si="40"/>
        <v>81988.798923284397</v>
      </c>
      <c r="KJ12" s="214">
        <f t="shared" si="41"/>
        <v>2126346.7848151615</v>
      </c>
      <c r="KK12" s="214">
        <f t="shared" si="41"/>
        <v>2261111.7179256394</v>
      </c>
      <c r="KL12" s="252"/>
      <c r="KM12" s="249"/>
      <c r="KN12" s="248"/>
      <c r="KO12" s="295">
        <f t="shared" si="64"/>
        <v>7</v>
      </c>
      <c r="KP12" s="296">
        <v>6</v>
      </c>
      <c r="KQ12" s="349">
        <f t="shared" si="65"/>
        <v>1</v>
      </c>
      <c r="KR12" s="349">
        <f t="shared" si="65"/>
        <v>1.0287086701525239</v>
      </c>
      <c r="KS12" s="301">
        <v>1.69933333</v>
      </c>
      <c r="KT12" s="270">
        <f t="shared" si="66"/>
        <v>539520.44052487181</v>
      </c>
      <c r="KU12" s="301">
        <v>1.69933333</v>
      </c>
      <c r="KV12" s="270">
        <f t="shared" si="42"/>
        <v>24445.88866956779</v>
      </c>
      <c r="KW12" s="301">
        <v>1.69933333</v>
      </c>
      <c r="KX12" s="270">
        <f t="shared" si="43"/>
        <v>300716.82398654229</v>
      </c>
      <c r="KY12" s="301">
        <v>1.7150382799999999</v>
      </c>
      <c r="KZ12" s="270">
        <f t="shared" si="67"/>
        <v>633369.41716023511</v>
      </c>
      <c r="LA12" s="301">
        <v>1.69933333</v>
      </c>
      <c r="LB12" s="270">
        <f t="shared" si="44"/>
        <v>42511.248310232397</v>
      </c>
      <c r="LC12" s="301">
        <v>1.69933333</v>
      </c>
      <c r="LD12" s="270">
        <f t="shared" si="45"/>
        <v>38192.448101698508</v>
      </c>
      <c r="LE12" s="301">
        <v>1.69933333</v>
      </c>
      <c r="LF12" s="270">
        <f t="shared" si="46"/>
        <v>15457.94365802338</v>
      </c>
      <c r="LG12" s="301">
        <v>1.69933333</v>
      </c>
      <c r="LH12" s="270">
        <f t="shared" si="47"/>
        <v>179373.48448396381</v>
      </c>
      <c r="LI12" s="273">
        <f t="shared" si="48"/>
        <v>1701433.8438242078</v>
      </c>
      <c r="LJ12" s="273">
        <f t="shared" si="68"/>
        <v>1773587.6948951348</v>
      </c>
      <c r="LK12" s="16"/>
      <c r="LL12" s="261"/>
      <c r="LM12" s="12"/>
      <c r="LN12" s="207">
        <v>7</v>
      </c>
      <c r="LO12" s="262">
        <v>7</v>
      </c>
      <c r="LP12" s="214">
        <f t="shared" si="14"/>
        <v>2068742.0222999996</v>
      </c>
      <c r="LQ12" s="214">
        <f t="shared" si="14"/>
        <v>2126346.7848151615</v>
      </c>
      <c r="LR12" s="215">
        <f t="shared" si="15"/>
        <v>2261111.7179256394</v>
      </c>
      <c r="LS12" s="214">
        <f t="shared" si="16"/>
        <v>2295946.5267755436</v>
      </c>
      <c r="LT12" s="214">
        <f t="shared" si="16"/>
        <v>2287673.8551023668</v>
      </c>
      <c r="LU12" s="215">
        <f t="shared" si="49"/>
        <v>2394250.7423674897</v>
      </c>
      <c r="LV12" s="214">
        <f t="shared" si="50"/>
        <v>-227204.50447554397</v>
      </c>
      <c r="LW12" s="214">
        <f>LQ12-LT12</f>
        <v>-161327.07028720528</v>
      </c>
      <c r="LX12" s="214">
        <f t="shared" si="50"/>
        <v>-133139.02444185037</v>
      </c>
      <c r="LY12" s="12"/>
      <c r="LZ12" s="13"/>
      <c r="MA12" s="12"/>
      <c r="MB12" s="207">
        <f t="shared" si="69"/>
        <v>7</v>
      </c>
      <c r="MC12" s="416" t="s">
        <v>212</v>
      </c>
      <c r="MD12" s="351">
        <f>MD9/(1-MD11)</f>
        <v>387906963.0601263</v>
      </c>
      <c r="ME12" s="12"/>
      <c r="MF12" s="13"/>
      <c r="MG12" s="12"/>
      <c r="MH12" s="264">
        <f>MH11+1</f>
        <v>6</v>
      </c>
      <c r="MI12" s="387" t="s">
        <v>208</v>
      </c>
      <c r="MJ12" s="417">
        <f>N12</f>
        <v>131252648.7122599</v>
      </c>
      <c r="MK12" s="418">
        <f t="shared" si="51"/>
        <v>5.8688084625351182</v>
      </c>
      <c r="ML12" s="393"/>
      <c r="MM12" s="419">
        <f>MM9+MM10+MM11</f>
        <v>141471408.11012632</v>
      </c>
      <c r="MN12" s="418">
        <f t="shared" si="52"/>
        <v>6.3257283206804793</v>
      </c>
      <c r="MO12" s="12"/>
      <c r="MP12" s="13"/>
      <c r="MQ12" s="12"/>
      <c r="MR12" s="264">
        <f t="shared" si="80"/>
        <v>6</v>
      </c>
      <c r="MS12" s="387" t="str">
        <f t="shared" si="53"/>
        <v>Net Revenue</v>
      </c>
      <c r="MT12" s="420">
        <v>113922778.03156425</v>
      </c>
      <c r="MU12" s="417">
        <f>MJ12</f>
        <v>131252648.7122599</v>
      </c>
      <c r="MV12" s="417">
        <f t="shared" si="70"/>
        <v>17329870.680695653</v>
      </c>
      <c r="MW12" s="421">
        <f t="shared" si="71"/>
        <v>0.15211945302013366</v>
      </c>
      <c r="MX12" s="12"/>
      <c r="MY12" s="13"/>
      <c r="MZ12" s="12"/>
    </row>
    <row r="13" spans="1:417" ht="17.25" thickBot="1" x14ac:dyDescent="0.35">
      <c r="B13" s="152">
        <f t="shared" si="72"/>
        <v>8</v>
      </c>
      <c r="C13" s="422" t="s">
        <v>209</v>
      </c>
      <c r="D13" s="5"/>
      <c r="E13" s="423"/>
      <c r="F13" s="267"/>
      <c r="G13" s="268"/>
      <c r="H13" s="267"/>
      <c r="I13" s="269"/>
      <c r="J13" s="270"/>
      <c r="K13" s="267"/>
      <c r="L13" s="269"/>
      <c r="M13" s="270"/>
      <c r="N13" s="267"/>
      <c r="O13" s="269"/>
      <c r="P13" s="270"/>
      <c r="Q13" s="267"/>
      <c r="R13" s="271"/>
      <c r="V13" s="200"/>
      <c r="W13" s="201" t="s">
        <v>25</v>
      </c>
      <c r="X13" s="354"/>
      <c r="Y13" s="355"/>
      <c r="Z13" s="355"/>
      <c r="AA13" s="355"/>
      <c r="AB13" s="204"/>
      <c r="AC13" s="279"/>
      <c r="AF13" s="356">
        <f t="shared" si="73"/>
        <v>7</v>
      </c>
      <c r="AG13" s="357" t="s">
        <v>189</v>
      </c>
      <c r="AH13" s="424">
        <f>IO26/AH11</f>
        <v>21.175899829404738</v>
      </c>
      <c r="AI13" s="424">
        <f>IQ26/AI11</f>
        <v>16.547558267588034</v>
      </c>
      <c r="AJ13" s="424">
        <f>IS26/AJ11</f>
        <v>30.728853391621012</v>
      </c>
      <c r="AL13" s="409"/>
      <c r="AN13" s="264">
        <v>8</v>
      </c>
      <c r="AO13" s="18"/>
      <c r="AQ13" s="12" t="s">
        <v>47</v>
      </c>
      <c r="AR13" s="266"/>
      <c r="AS13" s="276">
        <v>12784699.6164</v>
      </c>
      <c r="AT13" s="277">
        <v>1.2467034624748656</v>
      </c>
      <c r="AU13" s="278"/>
      <c r="AV13" s="276">
        <v>13940512.122199997</v>
      </c>
      <c r="AW13" s="277">
        <v>1.2917708159017343</v>
      </c>
      <c r="AX13" s="279">
        <f t="shared" ref="AX13:AX20" si="82">AW13/AT13-1</f>
        <v>3.6149216540559026E-2</v>
      </c>
      <c r="AY13" s="278"/>
      <c r="AZ13" s="276">
        <v>16686157.735618668</v>
      </c>
      <c r="BA13" s="277">
        <v>1.2933634349589591</v>
      </c>
      <c r="BB13" s="279">
        <f t="shared" ref="BB13:BB20" si="83">BA13/AW13-1</f>
        <v>1.2328959886844792E-3</v>
      </c>
      <c r="BC13" s="278"/>
      <c r="BD13" s="276">
        <v>19121063.134010617</v>
      </c>
      <c r="BE13" s="277">
        <v>1.3002123037527811</v>
      </c>
      <c r="BF13" s="279">
        <f t="shared" ref="BF13:BF20" si="84">BE13/BA13-1</f>
        <v>5.2953938612307905E-3</v>
      </c>
      <c r="BG13" s="278"/>
      <c r="BH13" s="276">
        <v>21345531.913160004</v>
      </c>
      <c r="BI13" s="277">
        <v>1.4046426840756656</v>
      </c>
      <c r="BJ13" s="279">
        <f t="shared" ref="BJ13:BJ20" si="85">BI13/BE13-1</f>
        <v>8.0317945016724401E-2</v>
      </c>
      <c r="BK13" s="278"/>
      <c r="BL13" s="276">
        <v>23918047.727200001</v>
      </c>
      <c r="BM13" s="277">
        <v>1.4218898216681388</v>
      </c>
      <c r="BN13" s="279">
        <f t="shared" ref="BN13:BN20" si="86">BM13/BI13-1</f>
        <v>1.2278665448517856E-2</v>
      </c>
      <c r="BO13" s="278"/>
      <c r="BP13" s="276">
        <v>28535397.766300008</v>
      </c>
      <c r="BQ13" s="277">
        <v>1.5384698585450844</v>
      </c>
      <c r="BR13" s="279">
        <f t="shared" ref="BR13:BR20" si="87">BQ13/BM13-1</f>
        <v>8.1989500944718685E-2</v>
      </c>
      <c r="BS13" s="278"/>
      <c r="BT13" s="12">
        <v>32304174</v>
      </c>
      <c r="BU13" s="12">
        <v>1.65</v>
      </c>
      <c r="BV13" s="12">
        <f t="shared" ref="BV13:BV20" si="88">BU13/BQ13-1</f>
        <v>7.2494199893125222E-2</v>
      </c>
      <c r="BW13" s="280">
        <v>36103152.515199989</v>
      </c>
      <c r="BX13" s="281">
        <v>1.8651083200592218</v>
      </c>
      <c r="BY13" s="282">
        <f t="shared" si="60"/>
        <v>0.13036867882377079</v>
      </c>
      <c r="BZ13" s="282">
        <v>36687111.743471108</v>
      </c>
      <c r="CA13" s="282">
        <v>1.7984785294214409</v>
      </c>
      <c r="CB13" s="282">
        <f t="shared" si="61"/>
        <v>-3.5724354409434667E-2</v>
      </c>
      <c r="CC13" s="282">
        <v>37593268.407299995</v>
      </c>
      <c r="CD13" s="282">
        <v>1.8087697778034015</v>
      </c>
      <c r="CE13" s="283">
        <f>CD13/CA13-1</f>
        <v>5.722196964603965E-3</v>
      </c>
      <c r="CF13" s="267">
        <v>38001297.827399999</v>
      </c>
      <c r="CG13" s="282">
        <v>1.8264813004078884</v>
      </c>
      <c r="CH13" s="283">
        <f t="shared" ref="CH13:CH20" si="89">CG13/CD13-1</f>
        <v>9.7920270571947299E-3</v>
      </c>
      <c r="CI13" s="267">
        <f t="shared" ref="CI13:CJ16" si="90">F14</f>
        <v>40086927.453850016</v>
      </c>
      <c r="CJ13" s="282">
        <f t="shared" si="90"/>
        <v>1.907876670349715</v>
      </c>
      <c r="CK13" s="283">
        <f t="shared" ref="CK13:CK20" si="91">CJ13/CG13-1</f>
        <v>4.4564031355617706E-2</v>
      </c>
      <c r="CL13" s="284">
        <f t="shared" si="62"/>
        <v>2.1355392505606603</v>
      </c>
      <c r="CM13" s="283">
        <f t="shared" ref="CM13:CM20" si="92">(CL13+1)^(1/(2023-2004))-1</f>
        <v>6.1993104594217696E-2</v>
      </c>
      <c r="DG13" s="12"/>
      <c r="DS13" s="12"/>
      <c r="EG13" s="18"/>
      <c r="EH13" s="18"/>
      <c r="EI13" s="18"/>
      <c r="EJ13" s="18"/>
      <c r="EL13" s="342"/>
      <c r="EX13" s="16"/>
      <c r="EY13" s="346"/>
      <c r="FN13" s="16"/>
      <c r="FO13" s="346"/>
      <c r="FQ13" s="264">
        <f t="shared" si="78"/>
        <v>8</v>
      </c>
      <c r="FR13" s="292"/>
      <c r="FS13" s="293" t="s">
        <v>213</v>
      </c>
      <c r="FT13" s="273">
        <v>276022.12</v>
      </c>
      <c r="FU13" s="273">
        <v>492569.24</v>
      </c>
      <c r="FV13" s="273">
        <v>834882.32440000016</v>
      </c>
      <c r="FW13" s="270">
        <f t="shared" si="22"/>
        <v>1603473.6844000001</v>
      </c>
      <c r="FX13" s="273">
        <v>279600.01266666671</v>
      </c>
      <c r="FY13" s="273">
        <v>492569.24</v>
      </c>
      <c r="FZ13" s="273">
        <v>843737.32440000016</v>
      </c>
      <c r="GA13" s="273">
        <v>1615906.5770666667</v>
      </c>
      <c r="GB13" s="273">
        <v>1615906.5770666667</v>
      </c>
      <c r="GC13" s="16"/>
      <c r="GD13" s="346"/>
      <c r="GF13" s="425">
        <v>8</v>
      </c>
      <c r="GG13" s="426" t="s">
        <v>89</v>
      </c>
      <c r="GH13" s="427">
        <f t="shared" ref="GH13:GO13" si="93">SUM(GH6:GH12)</f>
        <v>625404.0845</v>
      </c>
      <c r="GI13" s="427">
        <f t="shared" si="93"/>
        <v>864382.25</v>
      </c>
      <c r="GJ13" s="427">
        <f t="shared" si="93"/>
        <v>1304447.29</v>
      </c>
      <c r="GK13" s="428">
        <f t="shared" si="93"/>
        <v>2794233.6245000004</v>
      </c>
      <c r="GL13" s="427">
        <f t="shared" si="93"/>
        <v>180856.49850000002</v>
      </c>
      <c r="GM13" s="427">
        <f t="shared" si="93"/>
        <v>75208.66</v>
      </c>
      <c r="GN13" s="427">
        <f t="shared" si="93"/>
        <v>37651.22</v>
      </c>
      <c r="GO13" s="428">
        <f t="shared" si="93"/>
        <v>293716.37849999999</v>
      </c>
      <c r="GQ13" s="226"/>
      <c r="HG13" s="264">
        <v>8</v>
      </c>
      <c r="HH13" s="248">
        <v>8</v>
      </c>
      <c r="HI13" s="248">
        <v>10</v>
      </c>
      <c r="HJ13" s="248">
        <v>10</v>
      </c>
      <c r="HK13" s="275">
        <v>40334021</v>
      </c>
      <c r="HL13" s="275">
        <v>40102350</v>
      </c>
      <c r="HM13" s="269">
        <f t="shared" si="1"/>
        <v>1</v>
      </c>
      <c r="HN13" s="269">
        <f t="shared" si="2"/>
        <v>0.99425618883869771</v>
      </c>
      <c r="HO13" s="271">
        <v>1</v>
      </c>
      <c r="HP13" s="271">
        <v>0</v>
      </c>
      <c r="HQ13" s="271">
        <v>0</v>
      </c>
      <c r="HU13" s="295">
        <v>8</v>
      </c>
      <c r="HV13" s="296">
        <v>8</v>
      </c>
      <c r="HW13" s="297">
        <f t="shared" si="3"/>
        <v>0.99425618883869771</v>
      </c>
      <c r="HX13" s="273">
        <v>0</v>
      </c>
      <c r="HY13" s="270">
        <f t="shared" si="23"/>
        <v>0</v>
      </c>
      <c r="HZ13" s="273">
        <v>4367268</v>
      </c>
      <c r="IA13" s="270">
        <v>4764234</v>
      </c>
      <c r="IB13" s="273">
        <v>1972697.2140000002</v>
      </c>
      <c r="IC13" s="270">
        <v>2239505</v>
      </c>
      <c r="ID13" s="273">
        <v>225000</v>
      </c>
      <c r="IE13" s="273">
        <v>225000</v>
      </c>
      <c r="IF13" s="273">
        <f t="shared" si="24"/>
        <v>2197697.2140000002</v>
      </c>
      <c r="IG13" s="273">
        <f t="shared" si="24"/>
        <v>2464505</v>
      </c>
      <c r="IH13" s="239"/>
      <c r="II13" s="240"/>
      <c r="IJ13" s="239"/>
      <c r="IK13" s="298">
        <v>8</v>
      </c>
      <c r="IL13" s="296">
        <v>8</v>
      </c>
      <c r="IM13" s="299">
        <f t="shared" si="4"/>
        <v>1</v>
      </c>
      <c r="IN13" s="300">
        <f t="shared" si="4"/>
        <v>0.99425618883869771</v>
      </c>
      <c r="IO13" s="273">
        <v>619288.94230925001</v>
      </c>
      <c r="IP13" s="270">
        <f t="shared" si="63"/>
        <v>615731.863570343</v>
      </c>
      <c r="IQ13" s="273">
        <v>69759.193894798067</v>
      </c>
      <c r="IR13" s="270">
        <f t="shared" si="25"/>
        <v>69358.510258301671</v>
      </c>
      <c r="IS13" s="273">
        <v>461863.63369075005</v>
      </c>
      <c r="IT13" s="270">
        <f t="shared" si="26"/>
        <v>461863.63369075005</v>
      </c>
      <c r="IU13" s="273">
        <v>542520.6</v>
      </c>
      <c r="IV13" s="270">
        <v>542520.6</v>
      </c>
      <c r="IW13" s="273">
        <v>106770.17739806465</v>
      </c>
      <c r="IX13" s="270">
        <f t="shared" si="27"/>
        <v>106156.90966143142</v>
      </c>
      <c r="IY13" s="273">
        <v>112668.98100000001</v>
      </c>
      <c r="IZ13" s="270">
        <f t="shared" si="28"/>
        <v>112021.83164939965</v>
      </c>
      <c r="JA13" s="273">
        <v>20431.859999999997</v>
      </c>
      <c r="JB13" s="270">
        <f t="shared" si="29"/>
        <v>20314.50325448583</v>
      </c>
      <c r="JC13" s="273">
        <v>252478.07660000003</v>
      </c>
      <c r="JD13" s="270">
        <f t="shared" si="30"/>
        <v>251027.89020564081</v>
      </c>
      <c r="JE13" s="273">
        <f t="shared" si="31"/>
        <v>2185781.4648928628</v>
      </c>
      <c r="JF13" s="273">
        <f t="shared" si="31"/>
        <v>2178995.7422903525</v>
      </c>
      <c r="JG13" s="301">
        <f t="shared" si="5"/>
        <v>5.4335861671207608</v>
      </c>
      <c r="JK13" s="264">
        <v>8</v>
      </c>
      <c r="JL13" s="248">
        <v>8</v>
      </c>
      <c r="JM13" s="12">
        <f t="shared" si="6"/>
        <v>10</v>
      </c>
      <c r="JN13" s="12">
        <f t="shared" si="32"/>
        <v>10</v>
      </c>
      <c r="JO13" s="302">
        <f t="shared" si="7"/>
        <v>40102350</v>
      </c>
      <c r="JP13" s="302">
        <f t="shared" si="8"/>
        <v>41253635.138491064</v>
      </c>
      <c r="JQ13" s="303">
        <f t="shared" si="33"/>
        <v>1</v>
      </c>
      <c r="JR13" s="303">
        <f t="shared" si="34"/>
        <v>1.0287086701525239</v>
      </c>
      <c r="JS13" s="303">
        <f t="shared" si="35"/>
        <v>1.0456973055735044</v>
      </c>
      <c r="JT13" s="248" t="s">
        <v>241</v>
      </c>
      <c r="JU13" s="248"/>
      <c r="JV13" s="249"/>
      <c r="JW13" s="248"/>
      <c r="JX13" s="264">
        <v>8</v>
      </c>
      <c r="JY13" s="248">
        <v>8</v>
      </c>
      <c r="JZ13" s="377" t="str">
        <f t="shared" si="9"/>
        <v>Q3</v>
      </c>
      <c r="KA13" s="305">
        <f t="shared" si="10"/>
        <v>1.0456973055735044</v>
      </c>
      <c r="KB13" s="289">
        <f t="shared" si="36"/>
        <v>0</v>
      </c>
      <c r="KC13" s="289">
        <f t="shared" si="37"/>
        <v>0</v>
      </c>
      <c r="KD13" s="289">
        <f t="shared" si="11"/>
        <v>4764234</v>
      </c>
      <c r="KE13" s="289">
        <f t="shared" si="38"/>
        <v>4545769.9084162582</v>
      </c>
      <c r="KF13" s="289">
        <f t="shared" si="12"/>
        <v>2239505</v>
      </c>
      <c r="KG13" s="289">
        <f t="shared" si="13"/>
        <v>2327710.1769252992</v>
      </c>
      <c r="KH13" s="289">
        <f t="shared" si="39"/>
        <v>225000</v>
      </c>
      <c r="KI13" s="289">
        <f t="shared" si="40"/>
        <v>87588.760679823376</v>
      </c>
      <c r="KJ13" s="289">
        <f t="shared" si="41"/>
        <v>2464505</v>
      </c>
      <c r="KK13" s="289">
        <f t="shared" si="41"/>
        <v>2415298.9376051226</v>
      </c>
      <c r="KL13" s="252"/>
      <c r="KM13" s="249"/>
      <c r="KN13" s="248"/>
      <c r="KO13" s="306">
        <f t="shared" si="64"/>
        <v>8</v>
      </c>
      <c r="KP13" s="307">
        <v>7</v>
      </c>
      <c r="KQ13" s="308">
        <f t="shared" si="65"/>
        <v>1</v>
      </c>
      <c r="KR13" s="308">
        <f t="shared" si="65"/>
        <v>1.0287086701525239</v>
      </c>
      <c r="KS13" s="245">
        <v>1.69933333</v>
      </c>
      <c r="KT13" s="215">
        <f t="shared" si="66"/>
        <v>746787.55605722999</v>
      </c>
      <c r="KU13" s="245">
        <v>1.69933333</v>
      </c>
      <c r="KV13" s="215">
        <f t="shared" si="42"/>
        <v>132893.02984875478</v>
      </c>
      <c r="KW13" s="245">
        <v>1.69933333</v>
      </c>
      <c r="KX13" s="215">
        <f t="shared" si="43"/>
        <v>322841.51523535984</v>
      </c>
      <c r="KY13" s="245">
        <v>1.7150382799999999</v>
      </c>
      <c r="KZ13" s="215">
        <f t="shared" si="67"/>
        <v>662608.17163494916</v>
      </c>
      <c r="LA13" s="245">
        <v>1.69933333</v>
      </c>
      <c r="LB13" s="215">
        <f t="shared" si="44"/>
        <v>68654.306530881571</v>
      </c>
      <c r="LC13" s="245">
        <v>1.69933333</v>
      </c>
      <c r="LD13" s="215">
        <f t="shared" si="45"/>
        <v>58083.418734174382</v>
      </c>
      <c r="LE13" s="245">
        <v>1.69933333</v>
      </c>
      <c r="LF13" s="215">
        <f t="shared" si="46"/>
        <v>114529.89883069041</v>
      </c>
      <c r="LG13" s="245">
        <v>1.69933333</v>
      </c>
      <c r="LH13" s="309">
        <f t="shared" si="47"/>
        <v>287852.84549544967</v>
      </c>
      <c r="LI13" s="310">
        <f t="shared" si="48"/>
        <v>2287673.8551023668</v>
      </c>
      <c r="LJ13" s="310">
        <f t="shared" si="68"/>
        <v>2394250.7423674897</v>
      </c>
      <c r="LK13" s="16"/>
      <c r="LL13" s="261"/>
      <c r="LN13" s="264">
        <v>8</v>
      </c>
      <c r="LO13" s="311">
        <v>8</v>
      </c>
      <c r="LP13" s="273">
        <f t="shared" si="14"/>
        <v>2197697.2140000002</v>
      </c>
      <c r="LQ13" s="273">
        <f t="shared" si="14"/>
        <v>2464505</v>
      </c>
      <c r="LR13" s="270">
        <f t="shared" si="15"/>
        <v>2415298.9376051226</v>
      </c>
      <c r="LS13" s="273">
        <f t="shared" si="16"/>
        <v>2185781.4648928628</v>
      </c>
      <c r="LT13" s="273">
        <f t="shared" si="16"/>
        <v>2178995.7422903525</v>
      </c>
      <c r="LU13" s="270">
        <f t="shared" si="49"/>
        <v>2278569.9765691599</v>
      </c>
      <c r="LV13" s="273">
        <f t="shared" si="50"/>
        <v>11915.749107137322</v>
      </c>
      <c r="LW13" s="273">
        <f t="shared" si="50"/>
        <v>285509.25770964753</v>
      </c>
      <c r="LX13" s="273">
        <f t="shared" si="50"/>
        <v>136728.96103596268</v>
      </c>
      <c r="MB13" s="264">
        <f t="shared" si="69"/>
        <v>8</v>
      </c>
      <c r="MC13" s="274" t="s">
        <v>214</v>
      </c>
      <c r="MD13" s="430">
        <f>MD12-MD9</f>
        <v>23002882.909465492</v>
      </c>
      <c r="MH13" s="207">
        <f t="shared" si="79"/>
        <v>7</v>
      </c>
      <c r="MI13" s="209" t="s">
        <v>209</v>
      </c>
      <c r="MJ13" s="214"/>
      <c r="MK13" s="312"/>
      <c r="ML13" s="29"/>
      <c r="MM13" s="313"/>
      <c r="MN13" s="312"/>
      <c r="MR13" s="207">
        <f t="shared" si="80"/>
        <v>7</v>
      </c>
      <c r="MS13" s="209" t="str">
        <f t="shared" si="53"/>
        <v>Expenses</v>
      </c>
      <c r="MT13" s="315"/>
      <c r="MU13" s="214"/>
      <c r="MV13" s="214"/>
      <c r="MW13" s="332"/>
    </row>
    <row r="14" spans="1:417" s="29" customFormat="1" x14ac:dyDescent="0.3">
      <c r="B14" s="190">
        <f t="shared" si="72"/>
        <v>9</v>
      </c>
      <c r="C14" s="317"/>
      <c r="D14" s="29" t="s">
        <v>47</v>
      </c>
      <c r="E14" s="210"/>
      <c r="F14" s="313">
        <f>CV9</f>
        <v>40086927.453850016</v>
      </c>
      <c r="G14" s="318">
        <f t="shared" ref="G14:G22" si="94">F14/F$24*100</f>
        <v>1.907876670349715</v>
      </c>
      <c r="H14" s="313">
        <f>CZ9</f>
        <v>39165847.865128703</v>
      </c>
      <c r="I14" s="234">
        <f t="shared" ref="I14:I22" si="95">H14/H$24*100</f>
        <v>1.8559192257082906</v>
      </c>
      <c r="J14" s="215">
        <f t="shared" si="54"/>
        <v>-921079.58872131258</v>
      </c>
      <c r="K14" s="313">
        <f>IP26</f>
        <v>40436057.801948979</v>
      </c>
      <c r="L14" s="234">
        <f t="shared" ref="L14:L22" si="96">K14/K$24*100</f>
        <v>1.8599577042169813</v>
      </c>
      <c r="M14" s="215">
        <f t="shared" si="55"/>
        <v>1270209.9368202761</v>
      </c>
      <c r="N14" s="313">
        <f>KT27</f>
        <v>42928836.218025245</v>
      </c>
      <c r="O14" s="234">
        <f t="shared" ref="O14:O22" si="97">N14/N$24*100</f>
        <v>1.9195126327351413</v>
      </c>
      <c r="P14" s="215">
        <f t="shared" si="56"/>
        <v>2492778.4160762653</v>
      </c>
      <c r="Q14" s="313">
        <f t="shared" si="57"/>
        <v>2841908.7641752288</v>
      </c>
      <c r="R14" s="235">
        <f t="shared" si="58"/>
        <v>6.0989070028794057E-3</v>
      </c>
      <c r="S14" s="12"/>
      <c r="T14" s="13"/>
      <c r="U14" s="12"/>
      <c r="V14" s="174">
        <f>V12+1</f>
        <v>6</v>
      </c>
      <c r="W14" s="272" t="s">
        <v>174</v>
      </c>
      <c r="X14" s="273">
        <f>SUMPRODUCT($LW$6:$LW$25,HO6:HO25)</f>
        <v>-623155.32456038625</v>
      </c>
      <c r="Y14" s="273">
        <f>SUMPRODUCT($LW$6:$LW$25,HP6:HP25)</f>
        <v>2185021.5628700322</v>
      </c>
      <c r="Z14" s="273">
        <f>SUMPRODUCT($LW$6:$LW$25,HQ6:HQ25)</f>
        <v>8231148.5750491964</v>
      </c>
      <c r="AA14" s="273">
        <f>SUM(X14:Z14)</f>
        <v>9793014.8133588433</v>
      </c>
      <c r="AB14" s="273"/>
      <c r="AC14" s="12"/>
      <c r="AD14" s="13"/>
      <c r="AE14" s="12"/>
      <c r="AF14" s="319">
        <f t="shared" si="73"/>
        <v>8</v>
      </c>
      <c r="AG14" s="206" t="s">
        <v>25</v>
      </c>
      <c r="AK14" s="12"/>
      <c r="AL14" s="409"/>
      <c r="AM14" s="12"/>
      <c r="AN14" s="207">
        <v>9</v>
      </c>
      <c r="AO14" s="324"/>
      <c r="AQ14" s="29" t="s">
        <v>215</v>
      </c>
      <c r="AR14" s="210"/>
      <c r="AS14" s="326">
        <v>936011.74</v>
      </c>
      <c r="AT14" s="327">
        <v>9.1275439563570718E-2</v>
      </c>
      <c r="AU14" s="328"/>
      <c r="AV14" s="326">
        <v>1523068.1600000001</v>
      </c>
      <c r="AW14" s="327">
        <v>0.14113218958319465</v>
      </c>
      <c r="AX14" s="316">
        <f t="shared" si="82"/>
        <v>0.54622306129679221</v>
      </c>
      <c r="AY14" s="328"/>
      <c r="AZ14" s="326">
        <v>2211207.06</v>
      </c>
      <c r="BA14" s="327">
        <v>0.17139322328365042</v>
      </c>
      <c r="BB14" s="316">
        <f t="shared" si="83"/>
        <v>0.2144162418922686</v>
      </c>
      <c r="BC14" s="328"/>
      <c r="BD14" s="326">
        <v>2871478.9273906099</v>
      </c>
      <c r="BE14" s="327">
        <v>0.19525756518837487</v>
      </c>
      <c r="BF14" s="316">
        <f t="shared" si="84"/>
        <v>0.13923737151048088</v>
      </c>
      <c r="BG14" s="328"/>
      <c r="BH14" s="326">
        <v>3068616.0090000001</v>
      </c>
      <c r="BI14" s="327">
        <v>0.20193027022305846</v>
      </c>
      <c r="BJ14" s="316">
        <f t="shared" si="85"/>
        <v>3.4173861731022326E-2</v>
      </c>
      <c r="BK14" s="328"/>
      <c r="BL14" s="326">
        <v>3403828.76</v>
      </c>
      <c r="BM14" s="327">
        <v>0.20235219545286309</v>
      </c>
      <c r="BN14" s="316">
        <f t="shared" si="86"/>
        <v>2.0894600365688465E-3</v>
      </c>
      <c r="BO14" s="328"/>
      <c r="BP14" s="326">
        <v>4538272.1100000003</v>
      </c>
      <c r="BQ14" s="327">
        <v>0.24467837835281422</v>
      </c>
      <c r="BR14" s="316">
        <f t="shared" si="87"/>
        <v>0.20917086076197666</v>
      </c>
      <c r="BS14" s="328"/>
      <c r="BT14" s="29">
        <v>5378012</v>
      </c>
      <c r="BU14" s="29">
        <v>0.27</v>
      </c>
      <c r="BV14" s="29">
        <f t="shared" si="88"/>
        <v>0.10348941258174138</v>
      </c>
      <c r="BW14" s="329">
        <v>1768561.8457999995</v>
      </c>
      <c r="BX14" s="330">
        <v>9.1364858283556505E-2</v>
      </c>
      <c r="BY14" s="331">
        <f t="shared" si="60"/>
        <v>-0.66161163598682782</v>
      </c>
      <c r="BZ14" s="331">
        <v>1718931.8145400002</v>
      </c>
      <c r="CA14" s="331">
        <v>8.4265613047061122E-2</v>
      </c>
      <c r="CB14" s="331">
        <f t="shared" si="61"/>
        <v>-7.7702142485269743E-2</v>
      </c>
      <c r="CC14" s="331">
        <v>2147244.1196499998</v>
      </c>
      <c r="CD14" s="331">
        <v>0.10331291834244472</v>
      </c>
      <c r="CE14" s="332">
        <f t="shared" ref="CE14:CE20" si="98">CD14/CA14-1</f>
        <v>0.22603888593020671</v>
      </c>
      <c r="CF14" s="313">
        <v>1804966.5518499999</v>
      </c>
      <c r="CG14" s="331">
        <v>8.6753291158353285E-2</v>
      </c>
      <c r="CH14" s="332">
        <f t="shared" si="89"/>
        <v>-0.16028612345652937</v>
      </c>
      <c r="CI14" s="313">
        <f t="shared" si="90"/>
        <v>2702298.6386000006</v>
      </c>
      <c r="CJ14" s="331">
        <f t="shared" si="90"/>
        <v>0.12861181578054764</v>
      </c>
      <c r="CK14" s="332">
        <f t="shared" si="91"/>
        <v>0.48250071050087073</v>
      </c>
      <c r="CL14" s="333">
        <f t="shared" si="62"/>
        <v>1.8870349837706102</v>
      </c>
      <c r="CM14" s="332">
        <f t="shared" si="92"/>
        <v>5.738785592713791E-2</v>
      </c>
      <c r="CN14" s="12"/>
      <c r="CO14" s="13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3"/>
      <c r="DC14" s="12"/>
      <c r="DD14" s="12"/>
      <c r="DE14" s="12"/>
      <c r="DF14" s="12"/>
      <c r="DG14" s="12"/>
      <c r="DH14" s="12"/>
      <c r="DI14" s="12"/>
      <c r="DJ14" s="12"/>
      <c r="DK14" s="12"/>
      <c r="DL14" s="13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3"/>
      <c r="DZ14" s="12"/>
      <c r="EA14" s="12"/>
      <c r="EB14" s="17"/>
      <c r="EC14" s="18"/>
      <c r="ED14" s="18"/>
      <c r="EE14" s="18"/>
      <c r="EF14" s="18"/>
      <c r="EG14" s="18"/>
      <c r="EH14" s="18"/>
      <c r="EI14" s="18"/>
      <c r="EJ14" s="18"/>
      <c r="EK14" s="12"/>
      <c r="EL14" s="13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6"/>
      <c r="EY14" s="346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6"/>
      <c r="FO14" s="346"/>
      <c r="FP14" s="12"/>
      <c r="FQ14" s="207">
        <f t="shared" si="78"/>
        <v>9</v>
      </c>
      <c r="FR14" s="344"/>
      <c r="FS14" s="345" t="s">
        <v>216</v>
      </c>
      <c r="FT14" s="214">
        <v>3127.355</v>
      </c>
      <c r="FU14" s="214">
        <v>11447.7</v>
      </c>
      <c r="FV14" s="214">
        <v>38772.910000000003</v>
      </c>
      <c r="FW14" s="215">
        <f t="shared" si="22"/>
        <v>53347.965000000011</v>
      </c>
      <c r="FX14" s="214">
        <v>3200.355</v>
      </c>
      <c r="FY14" s="214">
        <v>11447.7</v>
      </c>
      <c r="FZ14" s="214">
        <v>38772.910000000003</v>
      </c>
      <c r="GA14" s="214">
        <v>53420.965000000004</v>
      </c>
      <c r="GB14" s="214">
        <v>53420.965000000004</v>
      </c>
      <c r="GC14" s="16"/>
      <c r="GD14" s="346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5"/>
      <c r="GQ14" s="346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383"/>
      <c r="HE14" s="12"/>
      <c r="HF14" s="12"/>
      <c r="HG14" s="207">
        <v>9</v>
      </c>
      <c r="HH14" s="231">
        <v>9</v>
      </c>
      <c r="HI14" s="231">
        <v>11</v>
      </c>
      <c r="HJ14" s="231">
        <v>11</v>
      </c>
      <c r="HK14" s="232">
        <v>53865307</v>
      </c>
      <c r="HL14" s="232">
        <v>53899467</v>
      </c>
      <c r="HM14" s="234">
        <f t="shared" si="1"/>
        <v>1</v>
      </c>
      <c r="HN14" s="234">
        <f t="shared" si="2"/>
        <v>1.0006341744232516</v>
      </c>
      <c r="HO14" s="235">
        <v>1</v>
      </c>
      <c r="HP14" s="235">
        <v>0</v>
      </c>
      <c r="HQ14" s="235">
        <v>0</v>
      </c>
      <c r="HR14" s="12"/>
      <c r="HS14" s="13"/>
      <c r="HT14" s="12"/>
      <c r="HU14" s="348">
        <v>9</v>
      </c>
      <c r="HV14" s="242">
        <v>9</v>
      </c>
      <c r="HW14" s="238">
        <f t="shared" si="3"/>
        <v>1.0006341744232516</v>
      </c>
      <c r="HX14" s="214">
        <v>49</v>
      </c>
      <c r="HY14" s="215">
        <f t="shared" si="23"/>
        <v>49.031074546739333</v>
      </c>
      <c r="HZ14" s="214">
        <v>5855399</v>
      </c>
      <c r="IA14" s="215">
        <v>5861289</v>
      </c>
      <c r="IB14" s="214">
        <v>2682748.7847000002</v>
      </c>
      <c r="IC14" s="215">
        <v>2700949</v>
      </c>
      <c r="ID14" s="214">
        <v>247500</v>
      </c>
      <c r="IE14" s="214">
        <v>247500</v>
      </c>
      <c r="IF14" s="214">
        <f t="shared" si="24"/>
        <v>2930297.7847000002</v>
      </c>
      <c r="IG14" s="214">
        <f t="shared" si="24"/>
        <v>2948498.0310745467</v>
      </c>
      <c r="IH14" s="239"/>
      <c r="II14" s="240"/>
      <c r="IJ14" s="239"/>
      <c r="IK14" s="241">
        <v>9</v>
      </c>
      <c r="IL14" s="242">
        <v>9</v>
      </c>
      <c r="IM14" s="243">
        <f t="shared" si="4"/>
        <v>1</v>
      </c>
      <c r="IN14" s="244">
        <f t="shared" si="4"/>
        <v>1.0006341744232516</v>
      </c>
      <c r="IO14" s="214">
        <v>703308.55046788929</v>
      </c>
      <c r="IP14" s="215">
        <f t="shared" si="63"/>
        <v>703754.57076225022</v>
      </c>
      <c r="IQ14" s="214">
        <v>54435.573941049392</v>
      </c>
      <c r="IR14" s="215">
        <f t="shared" si="25"/>
        <v>54470.095589757831</v>
      </c>
      <c r="IS14" s="214">
        <v>536691.75753211055</v>
      </c>
      <c r="IT14" s="215">
        <f t="shared" si="26"/>
        <v>536691.75753211055</v>
      </c>
      <c r="IU14" s="214">
        <v>716492.7</v>
      </c>
      <c r="IV14" s="215">
        <v>716492.7</v>
      </c>
      <c r="IW14" s="214">
        <v>128323.99293101171</v>
      </c>
      <c r="IX14" s="215">
        <f t="shared" si="27"/>
        <v>128405.37272521808</v>
      </c>
      <c r="IY14" s="214">
        <v>89947.034000000043</v>
      </c>
      <c r="IZ14" s="215">
        <f t="shared" si="28"/>
        <v>90004.076108410183</v>
      </c>
      <c r="JA14" s="214">
        <v>131187.514</v>
      </c>
      <c r="JB14" s="215">
        <f t="shared" si="29"/>
        <v>131270.70976602877</v>
      </c>
      <c r="JC14" s="214">
        <v>500700.81790000002</v>
      </c>
      <c r="JD14" s="215">
        <f t="shared" si="30"/>
        <v>501018.34955241339</v>
      </c>
      <c r="JE14" s="214">
        <f t="shared" si="31"/>
        <v>2861087.9407720612</v>
      </c>
      <c r="JF14" s="214">
        <f t="shared" si="31"/>
        <v>2862107.6320361891</v>
      </c>
      <c r="JG14" s="245">
        <f t="shared" si="5"/>
        <v>5.310085222245684</v>
      </c>
      <c r="JH14" s="12"/>
      <c r="JI14" s="13"/>
      <c r="JJ14" s="12"/>
      <c r="JK14" s="207">
        <v>9</v>
      </c>
      <c r="JL14" s="231">
        <v>9</v>
      </c>
      <c r="JM14" s="29">
        <f t="shared" si="6"/>
        <v>11</v>
      </c>
      <c r="JN14" s="29">
        <f t="shared" si="32"/>
        <v>11</v>
      </c>
      <c r="JO14" s="213">
        <f t="shared" si="7"/>
        <v>53899467</v>
      </c>
      <c r="JP14" s="213">
        <f t="shared" si="8"/>
        <v>55446849.019499846</v>
      </c>
      <c r="JQ14" s="247">
        <f t="shared" si="33"/>
        <v>1</v>
      </c>
      <c r="JR14" s="247">
        <f t="shared" si="34"/>
        <v>1.0287086701525239</v>
      </c>
      <c r="JS14" s="247">
        <f t="shared" si="35"/>
        <v>1.0463684606791852</v>
      </c>
      <c r="JT14" s="231" t="s">
        <v>241</v>
      </c>
      <c r="JU14" s="248"/>
      <c r="JV14" s="249"/>
      <c r="JW14" s="248"/>
      <c r="JX14" s="207">
        <v>9</v>
      </c>
      <c r="JY14" s="231">
        <v>9</v>
      </c>
      <c r="JZ14" s="250" t="str">
        <f t="shared" si="9"/>
        <v>Q3</v>
      </c>
      <c r="KA14" s="251">
        <f t="shared" si="10"/>
        <v>1.0463684606791852</v>
      </c>
      <c r="KB14" s="214">
        <f t="shared" si="36"/>
        <v>49.031074546739333</v>
      </c>
      <c r="KC14" s="214">
        <f t="shared" si="37"/>
        <v>51.304569998918012</v>
      </c>
      <c r="KD14" s="214">
        <f t="shared" si="11"/>
        <v>5861289</v>
      </c>
      <c r="KE14" s="214">
        <f t="shared" si="38"/>
        <v>6109731.1047426173</v>
      </c>
      <c r="KF14" s="214">
        <f t="shared" si="12"/>
        <v>2700949</v>
      </c>
      <c r="KG14" s="214">
        <f t="shared" si="13"/>
        <v>3128553.2610121178</v>
      </c>
      <c r="KH14" s="214">
        <f t="shared" si="39"/>
        <v>247500</v>
      </c>
      <c r="KI14" s="214">
        <f t="shared" si="40"/>
        <v>117723.46298491328</v>
      </c>
      <c r="KJ14" s="214">
        <f t="shared" si="41"/>
        <v>2948498.0310745467</v>
      </c>
      <c r="KK14" s="214">
        <f t="shared" si="41"/>
        <v>3246328.0285670301</v>
      </c>
      <c r="KL14" s="252"/>
      <c r="KM14" s="249"/>
      <c r="KN14" s="248"/>
      <c r="KO14" s="295">
        <f t="shared" si="64"/>
        <v>9</v>
      </c>
      <c r="KP14" s="296">
        <v>8</v>
      </c>
      <c r="KQ14" s="349">
        <f t="shared" si="65"/>
        <v>1</v>
      </c>
      <c r="KR14" s="349">
        <f t="shared" si="65"/>
        <v>1.0287086701525239</v>
      </c>
      <c r="KS14" s="301">
        <v>1.69933333</v>
      </c>
      <c r="KT14" s="270">
        <f t="shared" si="66"/>
        <v>653727.3309739267</v>
      </c>
      <c r="KU14" s="301">
        <v>1.69933333</v>
      </c>
      <c r="KV14" s="270">
        <f t="shared" si="42"/>
        <v>73638.472319058914</v>
      </c>
      <c r="KW14" s="301">
        <v>1.69933333</v>
      </c>
      <c r="KX14" s="270">
        <f t="shared" si="43"/>
        <v>476679.39737359405</v>
      </c>
      <c r="KY14" s="301">
        <v>1.7150382799999999</v>
      </c>
      <c r="KZ14" s="270">
        <f t="shared" si="67"/>
        <v>554796.3619245583</v>
      </c>
      <c r="LA14" s="301">
        <v>1.69933333</v>
      </c>
      <c r="LB14" s="270">
        <f t="shared" si="44"/>
        <v>112707.62051358353</v>
      </c>
      <c r="LC14" s="301">
        <v>1.69933333</v>
      </c>
      <c r="LD14" s="270">
        <f t="shared" si="45"/>
        <v>118934.45401759102</v>
      </c>
      <c r="LE14" s="301">
        <v>1.69933333</v>
      </c>
      <c r="LF14" s="270">
        <f t="shared" si="46"/>
        <v>21568.066845868219</v>
      </c>
      <c r="LG14" s="301">
        <v>1.69933333</v>
      </c>
      <c r="LH14" s="270">
        <f t="shared" si="47"/>
        <v>266518.27260097902</v>
      </c>
      <c r="LI14" s="273">
        <f t="shared" si="48"/>
        <v>2178995.7422903525</v>
      </c>
      <c r="LJ14" s="273">
        <f t="shared" si="68"/>
        <v>2278569.9765691599</v>
      </c>
      <c r="LK14" s="16"/>
      <c r="LL14" s="261"/>
      <c r="LM14" s="12"/>
      <c r="LN14" s="207">
        <v>9</v>
      </c>
      <c r="LO14" s="262">
        <v>9</v>
      </c>
      <c r="LP14" s="214">
        <f t="shared" si="14"/>
        <v>2930297.7847000002</v>
      </c>
      <c r="LQ14" s="214">
        <f t="shared" si="14"/>
        <v>2948498.0310745467</v>
      </c>
      <c r="LR14" s="215">
        <f t="shared" si="15"/>
        <v>3246328.0285670301</v>
      </c>
      <c r="LS14" s="214">
        <f t="shared" si="16"/>
        <v>2861087.9407720612</v>
      </c>
      <c r="LT14" s="214">
        <f t="shared" si="16"/>
        <v>2862107.6320361891</v>
      </c>
      <c r="LU14" s="215">
        <f t="shared" si="49"/>
        <v>2994819.1572318552</v>
      </c>
      <c r="LV14" s="214">
        <f t="shared" si="50"/>
        <v>69209.843927938957</v>
      </c>
      <c r="LW14" s="214">
        <f t="shared" si="50"/>
        <v>86390.39903835766</v>
      </c>
      <c r="LX14" s="214">
        <f t="shared" si="50"/>
        <v>251508.87133517489</v>
      </c>
      <c r="LY14" s="12"/>
      <c r="LZ14" s="13"/>
      <c r="MA14" s="12"/>
      <c r="MB14" s="5"/>
      <c r="MC14" s="12"/>
      <c r="MD14" s="12"/>
      <c r="ME14" s="12"/>
      <c r="MF14" s="13"/>
      <c r="MG14" s="12"/>
      <c r="MH14" s="264">
        <f t="shared" si="79"/>
        <v>8</v>
      </c>
      <c r="MI14" s="274" t="s">
        <v>47</v>
      </c>
      <c r="MJ14" s="273">
        <f t="shared" ref="MJ14:MJ21" si="99">N14</f>
        <v>42928836.218025245</v>
      </c>
      <c r="MK14" s="352">
        <f t="shared" ref="MK14:MK21" si="100">MJ14/$MJ$34*100</f>
        <v>1.9195126327351413</v>
      </c>
      <c r="ML14" s="12"/>
      <c r="MM14" s="267">
        <f t="shared" ref="MM14:MM20" si="101">MJ14</f>
        <v>42928836.218025245</v>
      </c>
      <c r="MN14" s="352">
        <f t="shared" ref="MN14:MN21" si="102">MM14/$MN$34*100</f>
        <v>1.9195126327351413</v>
      </c>
      <c r="MO14" s="12"/>
      <c r="MP14" s="13"/>
      <c r="MQ14" s="12"/>
      <c r="MR14" s="264">
        <f t="shared" si="80"/>
        <v>8</v>
      </c>
      <c r="MS14" s="274" t="str">
        <f t="shared" si="53"/>
        <v>Direct Labour</v>
      </c>
      <c r="MT14" s="353">
        <v>40089535.8576314</v>
      </c>
      <c r="MU14" s="273">
        <f t="shared" ref="MU14:MU21" si="103">MJ14</f>
        <v>42928836.218025245</v>
      </c>
      <c r="MV14" s="273">
        <f t="shared" si="70"/>
        <v>2839300.3603938445</v>
      </c>
      <c r="MW14" s="279">
        <f t="shared" si="71"/>
        <v>7.082397687209338E-2</v>
      </c>
      <c r="MX14" s="12"/>
      <c r="MY14" s="13"/>
      <c r="MZ14" s="12"/>
    </row>
    <row r="15" spans="1:417" x14ac:dyDescent="0.3">
      <c r="B15" s="152">
        <f t="shared" si="72"/>
        <v>10</v>
      </c>
      <c r="C15" s="265"/>
      <c r="D15" s="12" t="s">
        <v>48</v>
      </c>
      <c r="E15" s="266"/>
      <c r="F15" s="267">
        <f>DG9</f>
        <v>2702298.6386000006</v>
      </c>
      <c r="G15" s="268">
        <f t="shared" si="94"/>
        <v>0.12861181578054764</v>
      </c>
      <c r="H15" s="267">
        <f>DJ9</f>
        <v>2143832.9609526349</v>
      </c>
      <c r="I15" s="269">
        <f t="shared" si="95"/>
        <v>0.10158801674970586</v>
      </c>
      <c r="J15" s="270">
        <f t="shared" si="54"/>
        <v>-558465.67764736572</v>
      </c>
      <c r="K15" s="267">
        <f>IR26</f>
        <v>2191597.1834185803</v>
      </c>
      <c r="L15" s="269">
        <f t="shared" si="96"/>
        <v>0.10080799878674503</v>
      </c>
      <c r="M15" s="270">
        <f t="shared" si="55"/>
        <v>47764.222465945408</v>
      </c>
      <c r="N15" s="267">
        <f>KV27</f>
        <v>2326746.2074128287</v>
      </c>
      <c r="O15" s="269">
        <f t="shared" si="97"/>
        <v>0.10403773155215884</v>
      </c>
      <c r="P15" s="270">
        <f t="shared" si="56"/>
        <v>135149.02399424836</v>
      </c>
      <c r="Q15" s="267">
        <f t="shared" si="57"/>
        <v>-375552.43118717195</v>
      </c>
      <c r="R15" s="271">
        <f t="shared" si="58"/>
        <v>-0.19107174624079604</v>
      </c>
      <c r="V15" s="319">
        <f t="shared" si="59"/>
        <v>7</v>
      </c>
      <c r="W15" s="320" t="s">
        <v>181</v>
      </c>
      <c r="X15" s="234">
        <f>X14/K$24*100</f>
        <v>-2.8663589129206829E-2</v>
      </c>
      <c r="Y15" s="234">
        <f>Y14/K$24*100</f>
        <v>0.10050553665853305</v>
      </c>
      <c r="Z15" s="234">
        <f>Z14/K$24*100</f>
        <v>0.37861228415742026</v>
      </c>
      <c r="AA15" s="234">
        <f>AA14/K$24*100</f>
        <v>0.45045423168674659</v>
      </c>
      <c r="AB15" s="269"/>
      <c r="AC15" s="276"/>
      <c r="AF15" s="174">
        <f t="shared" si="73"/>
        <v>9</v>
      </c>
      <c r="AG15" s="274" t="s">
        <v>78</v>
      </c>
      <c r="AH15" s="19">
        <f>AH11*IP27</f>
        <v>1909531.9739754195</v>
      </c>
      <c r="AI15" s="19">
        <f>AI11*IR27</f>
        <v>132442.33064350626</v>
      </c>
      <c r="AJ15" s="19">
        <f>AJ11*IT27</f>
        <v>584867.11061168276</v>
      </c>
      <c r="AL15" s="409"/>
      <c r="AN15" s="264">
        <v>10</v>
      </c>
      <c r="AO15" s="18"/>
      <c r="AQ15" s="12" t="s">
        <v>49</v>
      </c>
      <c r="AR15" s="266"/>
      <c r="AS15" s="276">
        <v>7353821.8799999999</v>
      </c>
      <c r="AT15" s="277">
        <v>0.71710994198556099</v>
      </c>
      <c r="AU15" s="278"/>
      <c r="AV15" s="276">
        <v>7828448.5450000018</v>
      </c>
      <c r="AW15" s="277">
        <v>0.72540816833517452</v>
      </c>
      <c r="AX15" s="279">
        <f t="shared" si="82"/>
        <v>1.1571763078109143E-2</v>
      </c>
      <c r="AY15" s="278"/>
      <c r="AZ15" s="276">
        <v>8035314.9274999993</v>
      </c>
      <c r="BA15" s="277">
        <v>0.62282657759036675</v>
      </c>
      <c r="BB15" s="279">
        <f t="shared" si="83"/>
        <v>-0.14141223551457172</v>
      </c>
      <c r="BC15" s="278"/>
      <c r="BD15" s="276">
        <v>8562729.5753158554</v>
      </c>
      <c r="BE15" s="277">
        <v>0.58225665955417472</v>
      </c>
      <c r="BF15" s="279">
        <f t="shared" si="84"/>
        <v>-6.5138386022561279E-2</v>
      </c>
      <c r="BG15" s="278"/>
      <c r="BH15" s="276">
        <v>11045828.998199999</v>
      </c>
      <c r="BI15" s="277">
        <v>0.72687075473189988</v>
      </c>
      <c r="BJ15" s="279">
        <f t="shared" si="85"/>
        <v>0.24836829739045663</v>
      </c>
      <c r="BK15" s="278"/>
      <c r="BL15" s="276">
        <v>11568330.944249999</v>
      </c>
      <c r="BM15" s="277">
        <v>0.68771883938552769</v>
      </c>
      <c r="BN15" s="279">
        <f t="shared" si="86"/>
        <v>-5.3863654702703045E-2</v>
      </c>
      <c r="BO15" s="278"/>
      <c r="BP15" s="276">
        <v>12592679.530000001</v>
      </c>
      <c r="BQ15" s="277">
        <v>0.67892720661852923</v>
      </c>
      <c r="BR15" s="279">
        <f t="shared" si="87"/>
        <v>-1.2783760257104038E-2</v>
      </c>
      <c r="BS15" s="278"/>
      <c r="BT15" s="12">
        <v>14006160</v>
      </c>
      <c r="BU15" s="12">
        <v>0.71</v>
      </c>
      <c r="BV15" s="12">
        <f t="shared" si="88"/>
        <v>4.5767488883281304E-2</v>
      </c>
      <c r="BW15" s="280">
        <v>14529003.2212</v>
      </c>
      <c r="BX15" s="281">
        <v>0.75057613815354784</v>
      </c>
      <c r="BY15" s="282">
        <f t="shared" si="60"/>
        <v>5.71494903571097E-2</v>
      </c>
      <c r="BZ15" s="282">
        <v>16169362.853399999</v>
      </c>
      <c r="CA15" s="282">
        <v>0.79265580047847906</v>
      </c>
      <c r="CB15" s="282">
        <f t="shared" si="61"/>
        <v>5.6063149607245899E-2</v>
      </c>
      <c r="CC15" s="282">
        <v>15891148.762050001</v>
      </c>
      <c r="CD15" s="282">
        <v>0.76458980113025976</v>
      </c>
      <c r="CE15" s="283">
        <f t="shared" si="98"/>
        <v>-3.5407549318730136E-2</v>
      </c>
      <c r="CF15" s="267">
        <v>16523554.25475</v>
      </c>
      <c r="CG15" s="282">
        <v>0.7941824250227445</v>
      </c>
      <c r="CH15" s="283">
        <f t="shared" si="89"/>
        <v>3.8703921826761523E-2</v>
      </c>
      <c r="CI15" s="267">
        <f t="shared" si="90"/>
        <v>15892561.893050004</v>
      </c>
      <c r="CJ15" s="282">
        <f t="shared" si="90"/>
        <v>0.75638244170112656</v>
      </c>
      <c r="CK15" s="283">
        <f t="shared" si="91"/>
        <v>-4.7596096476871019E-2</v>
      </c>
      <c r="CL15" s="284">
        <f t="shared" si="62"/>
        <v>1.1611295666913821</v>
      </c>
      <c r="CM15" s="283">
        <f t="shared" si="92"/>
        <v>4.1393299947868778E-2</v>
      </c>
      <c r="DG15" s="12"/>
      <c r="DS15" s="12"/>
      <c r="EB15" s="12"/>
      <c r="EC15" s="12"/>
      <c r="ED15" s="12"/>
      <c r="EE15" s="12"/>
      <c r="EF15" s="12"/>
      <c r="EM15" s="29"/>
      <c r="EX15" s="19"/>
      <c r="EY15" s="346"/>
      <c r="FN15" s="19"/>
      <c r="FO15" s="346"/>
      <c r="FQ15" s="264">
        <f t="shared" si="78"/>
        <v>10</v>
      </c>
      <c r="FR15" s="292"/>
      <c r="FS15" s="293" t="s">
        <v>217</v>
      </c>
      <c r="FT15" s="273">
        <v>49717.579999999994</v>
      </c>
      <c r="FU15" s="273">
        <v>149865.03</v>
      </c>
      <c r="FV15" s="273">
        <v>323327.84380000003</v>
      </c>
      <c r="FW15" s="270">
        <f t="shared" si="22"/>
        <v>522910.45380000002</v>
      </c>
      <c r="FX15" s="273">
        <v>49764.673333333332</v>
      </c>
      <c r="FY15" s="273">
        <v>149865.03</v>
      </c>
      <c r="FZ15" s="273">
        <v>323327.84380000003</v>
      </c>
      <c r="GA15" s="273">
        <v>522957.5471333334</v>
      </c>
      <c r="GB15" s="273">
        <v>522957.5471333334</v>
      </c>
      <c r="GC15" s="16"/>
      <c r="GD15" s="346"/>
      <c r="HG15" s="264">
        <v>10</v>
      </c>
      <c r="HH15" s="248">
        <v>10</v>
      </c>
      <c r="HI15" s="248">
        <v>10</v>
      </c>
      <c r="HJ15" s="248">
        <v>10</v>
      </c>
      <c r="HK15" s="275">
        <v>62164889</v>
      </c>
      <c r="HL15" s="275">
        <v>62851551</v>
      </c>
      <c r="HM15" s="269">
        <f t="shared" si="1"/>
        <v>1</v>
      </c>
      <c r="HN15" s="269">
        <f t="shared" si="2"/>
        <v>1.0110458171975503</v>
      </c>
      <c r="HO15" s="271">
        <v>0.3</v>
      </c>
      <c r="HP15" s="271">
        <v>0.7</v>
      </c>
      <c r="HQ15" s="271">
        <v>0</v>
      </c>
      <c r="HU15" s="295">
        <v>10</v>
      </c>
      <c r="HV15" s="296">
        <v>10</v>
      </c>
      <c r="HW15" s="297">
        <f t="shared" si="3"/>
        <v>1.0110458171975503</v>
      </c>
      <c r="HX15" s="273">
        <v>4300</v>
      </c>
      <c r="HY15" s="270">
        <f t="shared" si="23"/>
        <v>4347.4970139494662</v>
      </c>
      <c r="HZ15" s="273">
        <v>6776260</v>
      </c>
      <c r="IA15" s="270">
        <v>7535880</v>
      </c>
      <c r="IB15" s="273">
        <v>3200801.0975999995</v>
      </c>
      <c r="IC15" s="270">
        <v>3496052</v>
      </c>
      <c r="ID15" s="273">
        <v>225000</v>
      </c>
      <c r="IE15" s="273">
        <v>225000</v>
      </c>
      <c r="IF15" s="273">
        <f t="shared" si="24"/>
        <v>3430101.0975999995</v>
      </c>
      <c r="IG15" s="273">
        <f t="shared" si="24"/>
        <v>3725399.4970139493</v>
      </c>
      <c r="IH15" s="239"/>
      <c r="II15" s="240"/>
      <c r="IJ15" s="239"/>
      <c r="IK15" s="298">
        <v>10</v>
      </c>
      <c r="IL15" s="296">
        <v>10</v>
      </c>
      <c r="IM15" s="299">
        <f t="shared" si="4"/>
        <v>1</v>
      </c>
      <c r="IN15" s="300">
        <f t="shared" si="4"/>
        <v>1.0110458171975503</v>
      </c>
      <c r="IO15" s="273">
        <v>776385.25897736056</v>
      </c>
      <c r="IP15" s="270">
        <f t="shared" si="63"/>
        <v>784961.06862289726</v>
      </c>
      <c r="IQ15" s="273">
        <v>87195.138275988735</v>
      </c>
      <c r="IR15" s="270">
        <f t="shared" si="25"/>
        <v>88158.279833900422</v>
      </c>
      <c r="IS15" s="273">
        <v>503293.87742263946</v>
      </c>
      <c r="IT15" s="270">
        <f t="shared" si="26"/>
        <v>503293.87742263946</v>
      </c>
      <c r="IU15" s="273">
        <v>781429.10000000009</v>
      </c>
      <c r="IV15" s="270">
        <v>781429.1</v>
      </c>
      <c r="IW15" s="273">
        <v>64290.614208288913</v>
      </c>
      <c r="IX15" s="270">
        <f t="shared" si="27"/>
        <v>65000.756580351903</v>
      </c>
      <c r="IY15" s="273">
        <v>104268.24680000001</v>
      </c>
      <c r="IZ15" s="270">
        <f t="shared" si="28"/>
        <v>105419.97479366187</v>
      </c>
      <c r="JA15" s="273">
        <v>120773.12999999999</v>
      </c>
      <c r="JB15" s="270">
        <f t="shared" si="29"/>
        <v>122107.16791635596</v>
      </c>
      <c r="JC15" s="273">
        <v>450182.43444097636</v>
      </c>
      <c r="JD15" s="270">
        <f t="shared" si="30"/>
        <v>455155.06731735956</v>
      </c>
      <c r="JE15" s="273">
        <f t="shared" si="31"/>
        <v>2887817.8001252543</v>
      </c>
      <c r="JF15" s="273">
        <f t="shared" si="31"/>
        <v>2905525.2924871664</v>
      </c>
      <c r="JG15" s="301">
        <f t="shared" si="5"/>
        <v>4.6228378556436365</v>
      </c>
      <c r="JK15" s="264">
        <v>10</v>
      </c>
      <c r="JL15" s="248">
        <v>10</v>
      </c>
      <c r="JM15" s="12">
        <f t="shared" si="6"/>
        <v>10</v>
      </c>
      <c r="JN15" s="12">
        <f t="shared" si="32"/>
        <v>10</v>
      </c>
      <c r="JO15" s="302">
        <f t="shared" si="7"/>
        <v>62851551</v>
      </c>
      <c r="JP15" s="302">
        <f t="shared" si="8"/>
        <v>64655935.446233533</v>
      </c>
      <c r="JQ15" s="303">
        <f t="shared" si="33"/>
        <v>1</v>
      </c>
      <c r="JR15" s="303">
        <f t="shared" si="34"/>
        <v>1.0287086701525239</v>
      </c>
      <c r="JS15" s="303">
        <f t="shared" si="35"/>
        <v>1.0460648373763062</v>
      </c>
      <c r="JT15" s="248" t="s">
        <v>241</v>
      </c>
      <c r="JU15" s="248"/>
      <c r="JV15" s="249"/>
      <c r="JW15" s="248"/>
      <c r="JX15" s="264">
        <v>10</v>
      </c>
      <c r="JY15" s="248">
        <v>10</v>
      </c>
      <c r="JZ15" s="377" t="str">
        <f t="shared" si="9"/>
        <v>Q3</v>
      </c>
      <c r="KA15" s="305">
        <f t="shared" si="10"/>
        <v>1.0460648373763062</v>
      </c>
      <c r="KB15" s="289">
        <f t="shared" si="36"/>
        <v>4347.4970139494662</v>
      </c>
      <c r="KC15" s="289">
        <f t="shared" si="37"/>
        <v>4547.763756891025</v>
      </c>
      <c r="KD15" s="289">
        <f t="shared" si="11"/>
        <v>7535880</v>
      </c>
      <c r="KE15" s="289">
        <f t="shared" si="38"/>
        <v>7124487.4485682203</v>
      </c>
      <c r="KF15" s="289">
        <f t="shared" si="12"/>
        <v>3496052</v>
      </c>
      <c r="KG15" s="289">
        <f t="shared" si="13"/>
        <v>3648170.1171686808</v>
      </c>
      <c r="KH15" s="289">
        <f t="shared" si="39"/>
        <v>225000</v>
      </c>
      <c r="KI15" s="289">
        <f t="shared" si="40"/>
        <v>137275.98155456508</v>
      </c>
      <c r="KJ15" s="289">
        <f t="shared" si="41"/>
        <v>3725399.4970139493</v>
      </c>
      <c r="KK15" s="289">
        <f t="shared" si="41"/>
        <v>3789993.862480137</v>
      </c>
      <c r="KL15" s="252"/>
      <c r="KM15" s="249"/>
      <c r="KN15" s="248"/>
      <c r="KO15" s="306">
        <f t="shared" si="64"/>
        <v>10</v>
      </c>
      <c r="KP15" s="307">
        <v>9</v>
      </c>
      <c r="KQ15" s="308">
        <f t="shared" si="65"/>
        <v>1</v>
      </c>
      <c r="KR15" s="308">
        <f t="shared" si="65"/>
        <v>1.0287086701525239</v>
      </c>
      <c r="KS15" s="245">
        <v>1.69933333</v>
      </c>
      <c r="KT15" s="215">
        <f t="shared" si="66"/>
        <v>747181.72702223365</v>
      </c>
      <c r="KU15" s="245">
        <v>1.69933333</v>
      </c>
      <c r="KV15" s="215">
        <f t="shared" si="42"/>
        <v>57831.326125156767</v>
      </c>
      <c r="KW15" s="245">
        <v>1.69933333</v>
      </c>
      <c r="KX15" s="215">
        <f t="shared" si="43"/>
        <v>553907.87430360343</v>
      </c>
      <c r="KY15" s="245">
        <v>1.7150382799999999</v>
      </c>
      <c r="KZ15" s="215">
        <f t="shared" si="67"/>
        <v>732704.97618985153</v>
      </c>
      <c r="LA15" s="245">
        <v>1.69933333</v>
      </c>
      <c r="LB15" s="215">
        <f t="shared" si="44"/>
        <v>136328.98760123897</v>
      </c>
      <c r="LC15" s="245">
        <v>1.69933333</v>
      </c>
      <c r="LD15" s="215">
        <f t="shared" si="45"/>
        <v>95558.030909672583</v>
      </c>
      <c r="LE15" s="245">
        <v>1.69933333</v>
      </c>
      <c r="LF15" s="215">
        <f t="shared" si="46"/>
        <v>139371.13832764185</v>
      </c>
      <c r="LG15" s="245">
        <v>1.69933333</v>
      </c>
      <c r="LH15" s="309">
        <f t="shared" si="47"/>
        <v>531935.09675245697</v>
      </c>
      <c r="LI15" s="310">
        <f t="shared" si="48"/>
        <v>2862107.6320361891</v>
      </c>
      <c r="LJ15" s="310">
        <f t="shared" si="68"/>
        <v>2994819.1572318552</v>
      </c>
      <c r="LK15" s="16"/>
      <c r="LL15" s="261"/>
      <c r="LN15" s="264">
        <v>10</v>
      </c>
      <c r="LO15" s="311">
        <v>10</v>
      </c>
      <c r="LP15" s="273">
        <f t="shared" si="14"/>
        <v>3430101.0975999995</v>
      </c>
      <c r="LQ15" s="273">
        <f t="shared" si="14"/>
        <v>3725399.4970139493</v>
      </c>
      <c r="LR15" s="270">
        <f t="shared" si="15"/>
        <v>3789993.862480137</v>
      </c>
      <c r="LS15" s="273">
        <f t="shared" si="16"/>
        <v>2887817.8001252543</v>
      </c>
      <c r="LT15" s="273">
        <f t="shared" si="16"/>
        <v>2905525.2924871664</v>
      </c>
      <c r="LU15" s="270">
        <f t="shared" si="49"/>
        <v>3039367.8425783319</v>
      </c>
      <c r="LV15" s="273">
        <f t="shared" si="50"/>
        <v>542283.2974747452</v>
      </c>
      <c r="LW15" s="273">
        <f t="shared" si="50"/>
        <v>819874.20452678297</v>
      </c>
      <c r="LX15" s="273">
        <f t="shared" si="50"/>
        <v>750626.01990180509</v>
      </c>
      <c r="MH15" s="207">
        <f t="shared" si="79"/>
        <v>9</v>
      </c>
      <c r="MI15" s="322" t="s">
        <v>58</v>
      </c>
      <c r="MJ15" s="214">
        <f t="shared" si="99"/>
        <v>2326746.2074128287</v>
      </c>
      <c r="MK15" s="312">
        <f t="shared" si="100"/>
        <v>0.10403773155215884</v>
      </c>
      <c r="ML15" s="29"/>
      <c r="MM15" s="313">
        <f t="shared" si="101"/>
        <v>2326746.2074128287</v>
      </c>
      <c r="MN15" s="312">
        <f t="shared" si="102"/>
        <v>0.10403773155215884</v>
      </c>
      <c r="MR15" s="207">
        <f t="shared" si="80"/>
        <v>9</v>
      </c>
      <c r="MS15" s="322" t="str">
        <f t="shared" si="53"/>
        <v>Contract Labour</v>
      </c>
      <c r="MT15" s="315">
        <v>1994855.5644364771</v>
      </c>
      <c r="MU15" s="214">
        <f t="shared" si="103"/>
        <v>2326746.2074128287</v>
      </c>
      <c r="MV15" s="214">
        <f t="shared" si="70"/>
        <v>331890.64297635155</v>
      </c>
      <c r="MW15" s="332">
        <f t="shared" si="71"/>
        <v>0.16637326977109076</v>
      </c>
    </row>
    <row r="16" spans="1:417" s="29" customFormat="1" x14ac:dyDescent="0.3">
      <c r="B16" s="190">
        <f t="shared" si="72"/>
        <v>11</v>
      </c>
      <c r="C16" s="317"/>
      <c r="D16" s="29" t="s">
        <v>49</v>
      </c>
      <c r="E16" s="210"/>
      <c r="F16" s="313">
        <f>DS9</f>
        <v>15892561.893050004</v>
      </c>
      <c r="G16" s="318">
        <f t="shared" si="94"/>
        <v>0.75638244170112656</v>
      </c>
      <c r="H16" s="313">
        <f>DW9</f>
        <v>17328320.919371299</v>
      </c>
      <c r="I16" s="234">
        <f t="shared" si="95"/>
        <v>0.82112262842490291</v>
      </c>
      <c r="J16" s="215">
        <f t="shared" si="54"/>
        <v>1435759.0263212956</v>
      </c>
      <c r="K16" s="313">
        <f>IT26</f>
        <v>17972295.695567392</v>
      </c>
      <c r="L16" s="234">
        <f t="shared" si="96"/>
        <v>0.82668073146895826</v>
      </c>
      <c r="M16" s="215">
        <f t="shared" si="55"/>
        <v>643974.77619609237</v>
      </c>
      <c r="N16" s="313">
        <f>KX27</f>
        <v>18534338.858237363</v>
      </c>
      <c r="O16" s="234">
        <f t="shared" si="97"/>
        <v>0.82874125441216062</v>
      </c>
      <c r="P16" s="215">
        <f t="shared" si="56"/>
        <v>562043.16266997159</v>
      </c>
      <c r="Q16" s="313">
        <f t="shared" si="57"/>
        <v>2641776.9651873596</v>
      </c>
      <c r="R16" s="235">
        <f t="shared" si="58"/>
        <v>9.5664321012392861E-2</v>
      </c>
      <c r="S16" s="12"/>
      <c r="T16" s="13"/>
      <c r="U16" s="12"/>
      <c r="V16" s="174">
        <f t="shared" si="59"/>
        <v>8</v>
      </c>
      <c r="W16" s="408" t="s">
        <v>134</v>
      </c>
      <c r="X16" s="273">
        <f>X14-X10</f>
        <v>1576222.9064975744</v>
      </c>
      <c r="Y16" s="273">
        <f>Y14-Y10</f>
        <v>-275981.33275642619</v>
      </c>
      <c r="Z16" s="273">
        <f>Z14-Z10</f>
        <v>-3221052.0707808984</v>
      </c>
      <c r="AA16" s="273">
        <f>AA14-AA10</f>
        <v>-1920810.4970397502</v>
      </c>
      <c r="AB16" s="273"/>
      <c r="AC16" s="277"/>
      <c r="AD16" s="13"/>
      <c r="AE16" s="12"/>
      <c r="AF16" s="319">
        <f t="shared" si="73"/>
        <v>10</v>
      </c>
      <c r="AG16" s="322" t="s">
        <v>182</v>
      </c>
      <c r="AH16" s="323">
        <f>AH15*3600/$K$24</f>
        <v>3.1620133213339603</v>
      </c>
      <c r="AI16" s="323">
        <f>AI15*3600/$K$24</f>
        <v>0.21931259570973516</v>
      </c>
      <c r="AJ16" s="323">
        <f>AJ15*3600/$K$24</f>
        <v>0.96848736767371324</v>
      </c>
      <c r="AK16" s="12"/>
      <c r="AL16" s="409"/>
      <c r="AM16" s="12"/>
      <c r="AN16" s="207">
        <f>AN15+1</f>
        <v>11</v>
      </c>
      <c r="AO16" s="324"/>
      <c r="AP16" s="324"/>
      <c r="AQ16" s="324" t="s">
        <v>50</v>
      </c>
      <c r="AR16" s="210"/>
      <c r="AS16" s="326">
        <v>3443976.8344000001</v>
      </c>
      <c r="AT16" s="327">
        <v>0.33584033829171284</v>
      </c>
      <c r="AU16" s="328"/>
      <c r="AV16" s="326">
        <v>5716425.9886499979</v>
      </c>
      <c r="AW16" s="327">
        <v>0.52970164931322072</v>
      </c>
      <c r="AX16" s="316">
        <f t="shared" si="82"/>
        <v>0.57724248375762066</v>
      </c>
      <c r="AY16" s="328"/>
      <c r="AZ16" s="326">
        <v>7023487.4984412417</v>
      </c>
      <c r="BA16" s="327">
        <v>0.54439866027303074</v>
      </c>
      <c r="BB16" s="316">
        <f t="shared" si="83"/>
        <v>2.7745828201338085E-2</v>
      </c>
      <c r="BC16" s="328"/>
      <c r="BD16" s="326">
        <v>8390599.8471698686</v>
      </c>
      <c r="BE16" s="327">
        <v>0.57055201798647071</v>
      </c>
      <c r="BF16" s="316">
        <f t="shared" si="84"/>
        <v>4.8040819388356581E-2</v>
      </c>
      <c r="BG16" s="328"/>
      <c r="BH16" s="326">
        <v>9500186.8885000013</v>
      </c>
      <c r="BI16" s="327">
        <v>0.62515977885076657</v>
      </c>
      <c r="BJ16" s="316">
        <f t="shared" si="85"/>
        <v>9.5710398250822948E-2</v>
      </c>
      <c r="BK16" s="328"/>
      <c r="BL16" s="326">
        <v>10661854.069499999</v>
      </c>
      <c r="BM16" s="327">
        <v>0.63383023373989222</v>
      </c>
      <c r="BN16" s="316">
        <f t="shared" si="86"/>
        <v>1.386918221940725E-2</v>
      </c>
      <c r="BO16" s="328"/>
      <c r="BP16" s="326">
        <v>13069899.7289</v>
      </c>
      <c r="BQ16" s="327">
        <v>0.70465626418798799</v>
      </c>
      <c r="BR16" s="316">
        <f t="shared" si="87"/>
        <v>0.11174290319063718</v>
      </c>
      <c r="BS16" s="328"/>
      <c r="BT16" s="29">
        <v>15592449</v>
      </c>
      <c r="BU16" s="29">
        <v>0.79</v>
      </c>
      <c r="BV16" s="29">
        <f t="shared" si="88"/>
        <v>0.12111399578680837</v>
      </c>
      <c r="BW16" s="329">
        <v>21298745.488500003</v>
      </c>
      <c r="BX16" s="330">
        <v>1.100304672859262</v>
      </c>
      <c r="BY16" s="331">
        <f t="shared" si="60"/>
        <v>0.39279072513830626</v>
      </c>
      <c r="BZ16" s="331">
        <v>23700279.210100003</v>
      </c>
      <c r="CA16" s="331">
        <v>1.1618369851162706</v>
      </c>
      <c r="CB16" s="331">
        <f t="shared" si="61"/>
        <v>5.5922976403535829E-2</v>
      </c>
      <c r="CC16" s="331">
        <v>24697713.659500003</v>
      </c>
      <c r="CD16" s="331">
        <v>1.1883105657147701</v>
      </c>
      <c r="CE16" s="332">
        <f t="shared" si="98"/>
        <v>2.2785968201769924E-2</v>
      </c>
      <c r="CF16" s="313">
        <v>25788943.3565</v>
      </c>
      <c r="CG16" s="331">
        <v>1.2395108980715628</v>
      </c>
      <c r="CH16" s="332">
        <f t="shared" si="89"/>
        <v>4.30866591899699E-2</v>
      </c>
      <c r="CI16" s="313">
        <f t="shared" si="90"/>
        <v>24728670.326400001</v>
      </c>
      <c r="CJ16" s="331">
        <f t="shared" si="90"/>
        <v>1.1769236556935634</v>
      </c>
      <c r="CK16" s="332">
        <f t="shared" si="91"/>
        <v>-5.0493499069167447E-2</v>
      </c>
      <c r="CL16" s="333">
        <f t="shared" si="62"/>
        <v>6.1802661618971548</v>
      </c>
      <c r="CM16" s="332">
        <f t="shared" si="92"/>
        <v>0.10932813703835587</v>
      </c>
      <c r="CN16" s="12"/>
      <c r="CO16" s="13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3"/>
      <c r="DC16" s="12"/>
      <c r="DD16" s="12"/>
      <c r="DE16" s="12"/>
      <c r="DF16" s="12"/>
      <c r="DG16" s="12"/>
      <c r="DH16" s="12"/>
      <c r="DI16" s="12"/>
      <c r="DJ16" s="12"/>
      <c r="DK16" s="12"/>
      <c r="DL16" s="13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3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3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432"/>
      <c r="EY16" s="346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432"/>
      <c r="FO16" s="346"/>
      <c r="FP16" s="12"/>
      <c r="FQ16" s="207">
        <f t="shared" si="78"/>
        <v>11</v>
      </c>
      <c r="FR16" s="344"/>
      <c r="FS16" s="345" t="s">
        <v>218</v>
      </c>
      <c r="FT16" s="214">
        <v>105942.137</v>
      </c>
      <c r="FU16" s="214">
        <v>167778.97000000003</v>
      </c>
      <c r="FV16" s="214">
        <v>551104.19140000001</v>
      </c>
      <c r="FW16" s="215">
        <f t="shared" si="22"/>
        <v>824825.29839999997</v>
      </c>
      <c r="FX16" s="214">
        <v>106498.85726666667</v>
      </c>
      <c r="FY16" s="214">
        <v>167778.97000000003</v>
      </c>
      <c r="FZ16" s="214">
        <v>556330.85806666664</v>
      </c>
      <c r="GA16" s="214">
        <v>830608.68533333333</v>
      </c>
      <c r="GB16" s="214">
        <v>830608.68533333333</v>
      </c>
      <c r="GC16" s="16"/>
      <c r="GD16" s="346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3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3"/>
      <c r="HE16" s="12"/>
      <c r="HF16" s="12"/>
      <c r="HG16" s="207">
        <v>11</v>
      </c>
      <c r="HH16" s="231">
        <v>11</v>
      </c>
      <c r="HI16" s="231">
        <v>11</v>
      </c>
      <c r="HJ16" s="231">
        <v>11</v>
      </c>
      <c r="HK16" s="232">
        <v>84321547</v>
      </c>
      <c r="HL16" s="232">
        <v>83105183</v>
      </c>
      <c r="HM16" s="234">
        <f t="shared" si="1"/>
        <v>1</v>
      </c>
      <c r="HN16" s="234">
        <f t="shared" si="2"/>
        <v>0.98557469539784415</v>
      </c>
      <c r="HO16" s="235">
        <v>0</v>
      </c>
      <c r="HP16" s="235">
        <v>0.90909090909090906</v>
      </c>
      <c r="HQ16" s="235">
        <v>9.0909090909090912E-2</v>
      </c>
      <c r="HR16" s="12"/>
      <c r="HS16" s="13"/>
      <c r="HT16" s="12"/>
      <c r="HU16" s="348">
        <v>11</v>
      </c>
      <c r="HV16" s="242">
        <v>11</v>
      </c>
      <c r="HW16" s="238">
        <f t="shared" si="3"/>
        <v>0.98557469539784415</v>
      </c>
      <c r="HX16" s="214">
        <v>3486.45</v>
      </c>
      <c r="HY16" s="215">
        <f t="shared" si="23"/>
        <v>3436.1568967698136</v>
      </c>
      <c r="HZ16" s="214">
        <v>9167709</v>
      </c>
      <c r="IA16" s="215">
        <v>9032798</v>
      </c>
      <c r="IB16" s="214">
        <v>4343908.4247000003</v>
      </c>
      <c r="IC16" s="215">
        <v>4198928</v>
      </c>
      <c r="ID16" s="214">
        <v>247500</v>
      </c>
      <c r="IE16" s="214">
        <v>247500</v>
      </c>
      <c r="IF16" s="214">
        <f t="shared" si="24"/>
        <v>4594894.8747000005</v>
      </c>
      <c r="IG16" s="214">
        <f t="shared" si="24"/>
        <v>4449864.15689677</v>
      </c>
      <c r="IH16" s="239"/>
      <c r="II16" s="240"/>
      <c r="IJ16" s="239"/>
      <c r="IK16" s="241">
        <v>11</v>
      </c>
      <c r="IL16" s="242">
        <v>11</v>
      </c>
      <c r="IM16" s="243">
        <f t="shared" si="4"/>
        <v>1</v>
      </c>
      <c r="IN16" s="244">
        <f t="shared" si="4"/>
        <v>0.98557469539784415</v>
      </c>
      <c r="IO16" s="214">
        <v>1385916.2708743948</v>
      </c>
      <c r="IP16" s="215">
        <f t="shared" si="63"/>
        <v>1365924.0065139476</v>
      </c>
      <c r="IQ16" s="214">
        <v>60253.245184117361</v>
      </c>
      <c r="IR16" s="215">
        <f t="shared" si="25"/>
        <v>59384.073769068091</v>
      </c>
      <c r="IS16" s="214">
        <v>823817.55312560499</v>
      </c>
      <c r="IT16" s="215">
        <f t="shared" si="26"/>
        <v>823817.55312560499</v>
      </c>
      <c r="IU16" s="214">
        <v>1171479.8999999999</v>
      </c>
      <c r="IV16" s="215">
        <v>1171479.8999999999</v>
      </c>
      <c r="IW16" s="214">
        <v>117255.33467320341</v>
      </c>
      <c r="IX16" s="215">
        <f t="shared" si="27"/>
        <v>115563.89075431472</v>
      </c>
      <c r="IY16" s="214">
        <v>61612.297499999986</v>
      </c>
      <c r="IZ16" s="215">
        <f t="shared" si="28"/>
        <v>60723.521341323838</v>
      </c>
      <c r="JA16" s="214">
        <v>209232.19</v>
      </c>
      <c r="JB16" s="215">
        <f t="shared" si="29"/>
        <v>206213.95192667385</v>
      </c>
      <c r="JC16" s="214">
        <v>431744.29627660709</v>
      </c>
      <c r="JD16" s="215">
        <f t="shared" si="30"/>
        <v>425516.25329257362</v>
      </c>
      <c r="JE16" s="214">
        <f t="shared" si="31"/>
        <v>4261311.0876339274</v>
      </c>
      <c r="JF16" s="214">
        <f t="shared" si="31"/>
        <v>4228623.1507235067</v>
      </c>
      <c r="JG16" s="245">
        <f t="shared" si="5"/>
        <v>5.0882784900714402</v>
      </c>
      <c r="JH16" s="12"/>
      <c r="JI16" s="13"/>
      <c r="JJ16" s="12"/>
      <c r="JK16" s="207">
        <v>11</v>
      </c>
      <c r="JL16" s="231">
        <v>11</v>
      </c>
      <c r="JM16" s="29">
        <f t="shared" si="6"/>
        <v>11</v>
      </c>
      <c r="JN16" s="29">
        <f t="shared" si="32"/>
        <v>11</v>
      </c>
      <c r="JO16" s="213">
        <f t="shared" si="7"/>
        <v>83105183</v>
      </c>
      <c r="JP16" s="213">
        <f t="shared" si="8"/>
        <v>85491022.28671214</v>
      </c>
      <c r="JQ16" s="247">
        <f t="shared" si="33"/>
        <v>1</v>
      </c>
      <c r="JR16" s="247">
        <f t="shared" si="34"/>
        <v>1.0287086701525239</v>
      </c>
      <c r="JS16" s="247">
        <f t="shared" si="35"/>
        <v>1.045108688503902</v>
      </c>
      <c r="JT16" s="231" t="s">
        <v>241</v>
      </c>
      <c r="JU16" s="248"/>
      <c r="JV16" s="249"/>
      <c r="JW16" s="248"/>
      <c r="JX16" s="207">
        <v>11</v>
      </c>
      <c r="JY16" s="231">
        <v>11</v>
      </c>
      <c r="JZ16" s="250" t="str">
        <f t="shared" si="9"/>
        <v>Q3</v>
      </c>
      <c r="KA16" s="251">
        <f t="shared" si="10"/>
        <v>1.045108688503902</v>
      </c>
      <c r="KB16" s="214">
        <f t="shared" si="36"/>
        <v>3436.1568967698136</v>
      </c>
      <c r="KC16" s="214">
        <f t="shared" si="37"/>
        <v>3591.1574278767375</v>
      </c>
      <c r="KD16" s="214">
        <f t="shared" si="11"/>
        <v>9032798</v>
      </c>
      <c r="KE16" s="214">
        <f t="shared" si="38"/>
        <v>9420321.7545811236</v>
      </c>
      <c r="KF16" s="214">
        <f t="shared" si="12"/>
        <v>4198928</v>
      </c>
      <c r="KG16" s="214">
        <f t="shared" si="13"/>
        <v>4823776.6670616399</v>
      </c>
      <c r="KH16" s="214">
        <f t="shared" si="39"/>
        <v>247500</v>
      </c>
      <c r="KI16" s="214">
        <f t="shared" si="40"/>
        <v>181512.55437748472</v>
      </c>
      <c r="KJ16" s="214">
        <f t="shared" si="41"/>
        <v>4449864.15689677</v>
      </c>
      <c r="KK16" s="214">
        <f t="shared" si="41"/>
        <v>5008880.3788670022</v>
      </c>
      <c r="KL16" s="252"/>
      <c r="KM16" s="249"/>
      <c r="KN16" s="248"/>
      <c r="KO16" s="295">
        <f t="shared" si="64"/>
        <v>11</v>
      </c>
      <c r="KP16" s="296">
        <v>10</v>
      </c>
      <c r="KQ16" s="349">
        <f t="shared" si="65"/>
        <v>1</v>
      </c>
      <c r="KR16" s="349">
        <f t="shared" si="65"/>
        <v>1.0287086701525239</v>
      </c>
      <c r="KS16" s="301">
        <v>1.69933333</v>
      </c>
      <c r="KT16" s="270">
        <f t="shared" si="66"/>
        <v>833399.30036065786</v>
      </c>
      <c r="KU16" s="301">
        <v>1.69933333</v>
      </c>
      <c r="KV16" s="270">
        <f t="shared" si="42"/>
        <v>93598.334581696181</v>
      </c>
      <c r="KW16" s="301">
        <v>1.69933333</v>
      </c>
      <c r="KX16" s="270">
        <f t="shared" si="43"/>
        <v>519438.64961725834</v>
      </c>
      <c r="KY16" s="301">
        <v>1.7150382799999999</v>
      </c>
      <c r="KZ16" s="270">
        <f t="shared" si="67"/>
        <v>799110.70986425551</v>
      </c>
      <c r="LA16" s="301">
        <v>1.69933333</v>
      </c>
      <c r="LB16" s="270">
        <f t="shared" si="44"/>
        <v>69011.811187037674</v>
      </c>
      <c r="LC16" s="301">
        <v>1.69933333</v>
      </c>
      <c r="LD16" s="270">
        <f t="shared" si="45"/>
        <v>111925.21100595282</v>
      </c>
      <c r="LE16" s="301">
        <v>1.69933333</v>
      </c>
      <c r="LF16" s="270">
        <f t="shared" si="46"/>
        <v>129642.13434055141</v>
      </c>
      <c r="LG16" s="301">
        <v>1.69933333</v>
      </c>
      <c r="LH16" s="270">
        <f t="shared" si="47"/>
        <v>483241.69162092218</v>
      </c>
      <c r="LI16" s="273">
        <f t="shared" si="48"/>
        <v>2905525.2924871664</v>
      </c>
      <c r="LJ16" s="273">
        <f t="shared" si="68"/>
        <v>3039367.8425783319</v>
      </c>
      <c r="LK16" s="16"/>
      <c r="LL16" s="261"/>
      <c r="LM16" s="12"/>
      <c r="LN16" s="207">
        <v>11</v>
      </c>
      <c r="LO16" s="262">
        <v>11</v>
      </c>
      <c r="LP16" s="214">
        <f t="shared" si="14"/>
        <v>4594894.8747000005</v>
      </c>
      <c r="LQ16" s="214">
        <f t="shared" si="14"/>
        <v>4449864.15689677</v>
      </c>
      <c r="LR16" s="215">
        <f t="shared" si="15"/>
        <v>5008880.3788670022</v>
      </c>
      <c r="LS16" s="214">
        <f t="shared" si="16"/>
        <v>4261311.0876339274</v>
      </c>
      <c r="LT16" s="214">
        <f t="shared" si="16"/>
        <v>4228623.1507235067</v>
      </c>
      <c r="LU16" s="215">
        <f t="shared" si="49"/>
        <v>4419370.795229882</v>
      </c>
      <c r="LV16" s="214">
        <f t="shared" si="50"/>
        <v>333583.78706607316</v>
      </c>
      <c r="LW16" s="214">
        <f t="shared" si="50"/>
        <v>221241.0061732633</v>
      </c>
      <c r="LX16" s="214">
        <f t="shared" si="50"/>
        <v>589509.5836371202</v>
      </c>
      <c r="LY16" s="12"/>
      <c r="LZ16" s="13"/>
      <c r="MA16" s="12"/>
      <c r="MB16" s="12"/>
      <c r="MC16" s="12"/>
      <c r="MD16" s="12"/>
      <c r="ME16" s="12"/>
      <c r="MF16" s="13"/>
      <c r="MG16" s="12"/>
      <c r="MH16" s="264">
        <f t="shared" si="79"/>
        <v>10</v>
      </c>
      <c r="MI16" s="274" t="s">
        <v>49</v>
      </c>
      <c r="MJ16" s="273">
        <f t="shared" si="99"/>
        <v>18534338.858237363</v>
      </c>
      <c r="MK16" s="352">
        <f t="shared" si="100"/>
        <v>0.82874125441216062</v>
      </c>
      <c r="ML16" s="12"/>
      <c r="MM16" s="267">
        <f t="shared" si="101"/>
        <v>18534338.858237363</v>
      </c>
      <c r="MN16" s="352">
        <f t="shared" si="102"/>
        <v>0.82874125441216062</v>
      </c>
      <c r="MO16" s="12"/>
      <c r="MP16" s="13"/>
      <c r="MQ16" s="12"/>
      <c r="MR16" s="264">
        <f t="shared" si="80"/>
        <v>10</v>
      </c>
      <c r="MS16" s="274" t="str">
        <f t="shared" si="53"/>
        <v>Overhead Labour</v>
      </c>
      <c r="MT16" s="353">
        <v>19173425.776259005</v>
      </c>
      <c r="MU16" s="273">
        <f t="shared" si="103"/>
        <v>18534338.858237363</v>
      </c>
      <c r="MV16" s="273">
        <f t="shared" si="70"/>
        <v>-639086.91802164167</v>
      </c>
      <c r="MW16" s="279">
        <f t="shared" si="71"/>
        <v>-3.3331910816530995E-2</v>
      </c>
      <c r="MX16" s="12"/>
      <c r="MY16" s="13"/>
      <c r="MZ16" s="12"/>
    </row>
    <row r="17" spans="1:364" x14ac:dyDescent="0.3">
      <c r="B17" s="152">
        <f t="shared" si="72"/>
        <v>12</v>
      </c>
      <c r="C17" s="265"/>
      <c r="D17" s="12" t="s">
        <v>50</v>
      </c>
      <c r="E17" s="266"/>
      <c r="F17" s="267">
        <f>EF12</f>
        <v>24728670.326400001</v>
      </c>
      <c r="G17" s="268">
        <f t="shared" si="94"/>
        <v>1.1769236556935634</v>
      </c>
      <c r="H17" s="267">
        <f>EJ12</f>
        <v>25306826.100000001</v>
      </c>
      <c r="I17" s="269">
        <f t="shared" si="95"/>
        <v>1.1991933702643978</v>
      </c>
      <c r="J17" s="270">
        <f t="shared" si="54"/>
        <v>578155.77360000089</v>
      </c>
      <c r="K17" s="267">
        <f>IV26</f>
        <v>26647634.949999996</v>
      </c>
      <c r="L17" s="269">
        <f t="shared" si="96"/>
        <v>1.2257246778894768</v>
      </c>
      <c r="M17" s="270">
        <f t="shared" si="55"/>
        <v>1340808.849999994</v>
      </c>
      <c r="N17" s="267">
        <f>KZ27</f>
        <v>27206919.806031119</v>
      </c>
      <c r="O17" s="269">
        <f t="shared" si="97"/>
        <v>1.2165255540647635</v>
      </c>
      <c r="P17" s="270">
        <f t="shared" si="56"/>
        <v>559284.85603112355</v>
      </c>
      <c r="Q17" s="267">
        <f t="shared" si="57"/>
        <v>2478249.4796311185</v>
      </c>
      <c r="R17" s="271">
        <f t="shared" si="58"/>
        <v>3.36486552714097E-2</v>
      </c>
      <c r="V17" s="200"/>
      <c r="W17" s="201" t="s">
        <v>26</v>
      </c>
      <c r="X17" s="354"/>
      <c r="Y17" s="355"/>
      <c r="Z17" s="355"/>
      <c r="AA17" s="355"/>
      <c r="AB17" s="204"/>
      <c r="AC17" s="279"/>
      <c r="AF17" s="356">
        <f t="shared" si="73"/>
        <v>11</v>
      </c>
      <c r="AG17" s="357" t="s">
        <v>189</v>
      </c>
      <c r="AH17" s="424">
        <f>IP26/AH15</f>
        <v>21.175899829404738</v>
      </c>
      <c r="AI17" s="424">
        <f>IR26/AI15</f>
        <v>16.547558267588037</v>
      </c>
      <c r="AJ17" s="424">
        <f>IT26/AJ15</f>
        <v>30.728853391621016</v>
      </c>
      <c r="AL17" s="409"/>
      <c r="AN17" s="264">
        <f>AN16+1</f>
        <v>12</v>
      </c>
      <c r="AO17" s="18"/>
      <c r="AQ17" s="12" t="s">
        <v>219</v>
      </c>
      <c r="AR17" s="266"/>
      <c r="AS17" s="276">
        <v>1216501.406</v>
      </c>
      <c r="AT17" s="277">
        <v>0.11862746567938538</v>
      </c>
      <c r="AU17" s="278"/>
      <c r="AV17" s="276">
        <v>2361150.2250000001</v>
      </c>
      <c r="AW17" s="277">
        <v>0.2187914565748014</v>
      </c>
      <c r="AX17" s="279">
        <f t="shared" si="82"/>
        <v>0.84435750457764458</v>
      </c>
      <c r="AY17" s="278"/>
      <c r="AZ17" s="276">
        <v>2483160.2930935998</v>
      </c>
      <c r="BA17" s="277">
        <v>0.19247263373122833</v>
      </c>
      <c r="BB17" s="279">
        <f t="shared" si="83"/>
        <v>-0.12029182151623485</v>
      </c>
      <c r="BC17" s="278"/>
      <c r="BD17" s="276">
        <v>3556357.1057280144</v>
      </c>
      <c r="BE17" s="277">
        <v>0.24182856533648778</v>
      </c>
      <c r="BF17" s="279">
        <f t="shared" si="84"/>
        <v>0.25643090473932428</v>
      </c>
      <c r="BG17" s="278"/>
      <c r="BH17" s="276">
        <v>3747904.7313999999</v>
      </c>
      <c r="BI17" s="277">
        <v>0.24663086321723002</v>
      </c>
      <c r="BJ17" s="279">
        <f t="shared" si="85"/>
        <v>1.9858273872898957E-2</v>
      </c>
      <c r="BK17" s="278"/>
      <c r="BL17" s="276">
        <v>4022436.6702577379</v>
      </c>
      <c r="BM17" s="277">
        <v>0.23912744990636886</v>
      </c>
      <c r="BN17" s="279">
        <f t="shared" si="86"/>
        <v>-3.0423659119468094E-2</v>
      </c>
      <c r="BO17" s="278"/>
      <c r="BP17" s="19">
        <v>5745533.5202000001</v>
      </c>
      <c r="BQ17" s="277">
        <v>0.30976719562421123</v>
      </c>
      <c r="BR17" s="279">
        <f t="shared" si="87"/>
        <v>0.29540626032478334</v>
      </c>
      <c r="BS17" s="278"/>
      <c r="BT17" s="12">
        <v>6723403</v>
      </c>
      <c r="BU17" s="12">
        <v>0.34</v>
      </c>
      <c r="BV17" s="12">
        <f t="shared" si="88"/>
        <v>9.759847008611322E-2</v>
      </c>
      <c r="BW17" s="280">
        <v>7155288.9644999998</v>
      </c>
      <c r="BX17" s="281">
        <v>0.36964608490901918</v>
      </c>
      <c r="BY17" s="282">
        <f t="shared" si="60"/>
        <v>8.7194367379468174E-2</v>
      </c>
      <c r="BZ17" s="282">
        <v>8029824.328999999</v>
      </c>
      <c r="CA17" s="282">
        <v>0.39363869120338835</v>
      </c>
      <c r="CB17" s="282">
        <f t="shared" si="61"/>
        <v>6.4906967160965445E-2</v>
      </c>
      <c r="CC17" s="282">
        <v>8459101.3855000008</v>
      </c>
      <c r="CD17" s="282">
        <v>0.40700283805321286</v>
      </c>
      <c r="CE17" s="283">
        <f t="shared" si="98"/>
        <v>3.395028778540321E-2</v>
      </c>
      <c r="CF17" s="267">
        <v>9697049.3831640016</v>
      </c>
      <c r="CG17" s="282">
        <v>0.46607564425629766</v>
      </c>
      <c r="CH17" s="283">
        <f t="shared" si="89"/>
        <v>0.14514101789963796</v>
      </c>
      <c r="CI17" s="267">
        <f>F18+F19</f>
        <v>12047468.947999999</v>
      </c>
      <c r="CJ17" s="282">
        <f>G18+G19</f>
        <v>0.57338105967620856</v>
      </c>
      <c r="CK17" s="283">
        <f t="shared" si="91"/>
        <v>0.23023175903373971</v>
      </c>
      <c r="CL17" s="284">
        <f t="shared" si="62"/>
        <v>8.9033744544640498</v>
      </c>
      <c r="CM17" s="283">
        <f t="shared" si="92"/>
        <v>0.12826117081548682</v>
      </c>
      <c r="DD17" s="378"/>
      <c r="DE17" s="399"/>
      <c r="DF17" s="19"/>
      <c r="DG17" s="12"/>
      <c r="DH17" s="19"/>
      <c r="DS17" s="12"/>
      <c r="EB17" s="12"/>
      <c r="EC17" s="12"/>
      <c r="ED17" s="12"/>
      <c r="EE17" s="12"/>
      <c r="EF17" s="12"/>
      <c r="ES17" s="275"/>
      <c r="EY17" s="346"/>
      <c r="FO17" s="346"/>
      <c r="FQ17" s="264">
        <f t="shared" si="78"/>
        <v>12</v>
      </c>
      <c r="FR17" s="292"/>
      <c r="FS17" s="293" t="s">
        <v>220</v>
      </c>
      <c r="FT17" s="273">
        <v>54750.724999999991</v>
      </c>
      <c r="FU17" s="273">
        <v>139277.92000000001</v>
      </c>
      <c r="FV17" s="273">
        <v>391704.37640000012</v>
      </c>
      <c r="FW17" s="270">
        <f t="shared" si="22"/>
        <v>585733.02140000009</v>
      </c>
      <c r="FX17" s="273">
        <v>55354.524999999994</v>
      </c>
      <c r="FY17" s="273">
        <v>139277.92000000001</v>
      </c>
      <c r="FZ17" s="273">
        <v>395478.04306666675</v>
      </c>
      <c r="GA17" s="273">
        <v>590110.48806666676</v>
      </c>
      <c r="GB17" s="273">
        <v>590110.48806666676</v>
      </c>
      <c r="GC17" s="16"/>
      <c r="GD17" s="346"/>
      <c r="HG17" s="264">
        <v>12</v>
      </c>
      <c r="HH17" s="248">
        <v>12</v>
      </c>
      <c r="HI17" s="248">
        <v>10</v>
      </c>
      <c r="HJ17" s="248">
        <v>10</v>
      </c>
      <c r="HK17" s="275">
        <v>88393636</v>
      </c>
      <c r="HL17" s="275">
        <v>88595852</v>
      </c>
      <c r="HM17" s="269">
        <f t="shared" si="1"/>
        <v>1</v>
      </c>
      <c r="HN17" s="269">
        <f t="shared" si="2"/>
        <v>1.0022876760041866</v>
      </c>
      <c r="HO17" s="271">
        <v>0</v>
      </c>
      <c r="HP17" s="271">
        <v>0.9</v>
      </c>
      <c r="HQ17" s="271">
        <v>0.1</v>
      </c>
      <c r="HU17" s="295">
        <v>12</v>
      </c>
      <c r="HV17" s="296">
        <v>12</v>
      </c>
      <c r="HW17" s="297">
        <f t="shared" si="3"/>
        <v>1.0022876760041866</v>
      </c>
      <c r="HX17" s="273">
        <v>3879.58</v>
      </c>
      <c r="HY17" s="270">
        <f t="shared" si="23"/>
        <v>3888.4552220723222</v>
      </c>
      <c r="HZ17" s="273">
        <v>9581411</v>
      </c>
      <c r="IA17" s="270">
        <v>9604296</v>
      </c>
      <c r="IB17" s="273">
        <v>4476712.0984000005</v>
      </c>
      <c r="IC17" s="270">
        <v>4415597</v>
      </c>
      <c r="ID17" s="273">
        <v>225000</v>
      </c>
      <c r="IE17" s="273">
        <v>225000</v>
      </c>
      <c r="IF17" s="273">
        <f t="shared" si="24"/>
        <v>4705591.6784000006</v>
      </c>
      <c r="IG17" s="273">
        <f t="shared" si="24"/>
        <v>4644485.4552220721</v>
      </c>
      <c r="IH17" s="239"/>
      <c r="II17" s="240"/>
      <c r="IJ17" s="239"/>
      <c r="IK17" s="298">
        <v>12</v>
      </c>
      <c r="IL17" s="296">
        <v>12</v>
      </c>
      <c r="IM17" s="299">
        <f t="shared" si="4"/>
        <v>1</v>
      </c>
      <c r="IN17" s="300">
        <f t="shared" si="4"/>
        <v>1.0022876760041866</v>
      </c>
      <c r="IO17" s="273">
        <v>1578836.8474455616</v>
      </c>
      <c r="IP17" s="270">
        <f t="shared" si="63"/>
        <v>1582448.7146159883</v>
      </c>
      <c r="IQ17" s="273">
        <v>175334.70081883663</v>
      </c>
      <c r="IR17" s="270">
        <f t="shared" si="25"/>
        <v>175735.80980660112</v>
      </c>
      <c r="IS17" s="273">
        <v>778685.66755443835</v>
      </c>
      <c r="IT17" s="270">
        <f t="shared" si="26"/>
        <v>778685.66755443835</v>
      </c>
      <c r="IU17" s="273">
        <v>897953.75</v>
      </c>
      <c r="IV17" s="270">
        <v>897953.75</v>
      </c>
      <c r="IW17" s="273">
        <v>109966.74220305623</v>
      </c>
      <c r="IX17" s="270">
        <f t="shared" si="27"/>
        <v>110218.31048045272</v>
      </c>
      <c r="IY17" s="273">
        <v>95987.429000000004</v>
      </c>
      <c r="IZ17" s="270">
        <f t="shared" si="28"/>
        <v>96207.017138026858</v>
      </c>
      <c r="JA17" s="273">
        <v>261443.27</v>
      </c>
      <c r="JB17" s="270">
        <f t="shared" si="29"/>
        <v>262041.36749523506</v>
      </c>
      <c r="JC17" s="273">
        <v>541962.10990000004</v>
      </c>
      <c r="JD17" s="270">
        <f t="shared" si="30"/>
        <v>543201.94361399661</v>
      </c>
      <c r="JE17" s="273">
        <f t="shared" si="31"/>
        <v>4440170.5169218928</v>
      </c>
      <c r="JF17" s="273">
        <f t="shared" si="31"/>
        <v>4446492.5807047384</v>
      </c>
      <c r="JG17" s="301">
        <f t="shared" si="5"/>
        <v>5.0188496191726202</v>
      </c>
      <c r="JK17" s="264">
        <v>12</v>
      </c>
      <c r="JL17" s="248">
        <v>12</v>
      </c>
      <c r="JM17" s="12">
        <f t="shared" si="6"/>
        <v>10</v>
      </c>
      <c r="JN17" s="12">
        <f t="shared" si="32"/>
        <v>10</v>
      </c>
      <c r="JO17" s="302">
        <f t="shared" si="7"/>
        <v>88595852</v>
      </c>
      <c r="JP17" s="302">
        <f t="shared" si="8"/>
        <v>91139321.091949821</v>
      </c>
      <c r="JQ17" s="303">
        <f t="shared" si="33"/>
        <v>1</v>
      </c>
      <c r="JR17" s="303">
        <f t="shared" si="34"/>
        <v>1.0287086701525239</v>
      </c>
      <c r="JS17" s="303">
        <f t="shared" si="35"/>
        <v>1.0486267942983414</v>
      </c>
      <c r="JT17" s="248" t="s">
        <v>241</v>
      </c>
      <c r="JU17" s="248"/>
      <c r="JV17" s="249"/>
      <c r="JW17" s="248"/>
      <c r="JX17" s="264">
        <v>12</v>
      </c>
      <c r="JY17" s="248">
        <v>12</v>
      </c>
      <c r="JZ17" s="377" t="str">
        <f t="shared" si="9"/>
        <v>Q3</v>
      </c>
      <c r="KA17" s="305">
        <f t="shared" si="10"/>
        <v>1.0486267942983414</v>
      </c>
      <c r="KB17" s="289">
        <f t="shared" si="36"/>
        <v>3888.4552220723222</v>
      </c>
      <c r="KC17" s="289">
        <f t="shared" si="37"/>
        <v>4077.5383342943442</v>
      </c>
      <c r="KD17" s="289">
        <f t="shared" si="11"/>
        <v>9604296</v>
      </c>
      <c r="KE17" s="289">
        <f t="shared" si="38"/>
        <v>10042712.161060395</v>
      </c>
      <c r="KF17" s="289">
        <f t="shared" si="12"/>
        <v>4415597</v>
      </c>
      <c r="KG17" s="289">
        <f t="shared" si="13"/>
        <v>5142478.3418868873</v>
      </c>
      <c r="KH17" s="289">
        <f t="shared" si="39"/>
        <v>225000</v>
      </c>
      <c r="KI17" s="289">
        <f t="shared" si="40"/>
        <v>193504.89131068502</v>
      </c>
      <c r="KJ17" s="289">
        <f t="shared" si="41"/>
        <v>4644485.4552220721</v>
      </c>
      <c r="KK17" s="289">
        <f t="shared" si="41"/>
        <v>5340060.7715318669</v>
      </c>
      <c r="KL17" s="252"/>
      <c r="KM17" s="249"/>
      <c r="KN17" s="248"/>
      <c r="KO17" s="306">
        <f t="shared" si="64"/>
        <v>12</v>
      </c>
      <c r="KP17" s="307">
        <v>11</v>
      </c>
      <c r="KQ17" s="308">
        <f t="shared" si="65"/>
        <v>1</v>
      </c>
      <c r="KR17" s="308">
        <f t="shared" si="65"/>
        <v>1.0287086701525239</v>
      </c>
      <c r="KS17" s="245">
        <v>1.69933333</v>
      </c>
      <c r="KT17" s="215">
        <f t="shared" si="66"/>
        <v>1450212.1912512705</v>
      </c>
      <c r="KU17" s="245">
        <v>1.69933333</v>
      </c>
      <c r="KV17" s="215">
        <f t="shared" si="42"/>
        <v>63048.535156694277</v>
      </c>
      <c r="KW17" s="245">
        <v>1.69933333</v>
      </c>
      <c r="KX17" s="215">
        <f t="shared" si="43"/>
        <v>850244.15460395417</v>
      </c>
      <c r="KY17" s="245">
        <v>1.7150382799999999</v>
      </c>
      <c r="KZ17" s="215">
        <f t="shared" si="67"/>
        <v>1197987.2959436846</v>
      </c>
      <c r="LA17" s="245">
        <v>1.69933333</v>
      </c>
      <c r="LB17" s="215">
        <f t="shared" si="44"/>
        <v>122695.08584746138</v>
      </c>
      <c r="LC17" s="245">
        <v>1.69933333</v>
      </c>
      <c r="LD17" s="215">
        <f t="shared" si="45"/>
        <v>64470.637110802774</v>
      </c>
      <c r="LE17" s="245">
        <v>1.69933333</v>
      </c>
      <c r="LF17" s="215">
        <f t="shared" si="46"/>
        <v>218938.9641473529</v>
      </c>
      <c r="LG17" s="245">
        <v>1.69933333</v>
      </c>
      <c r="LH17" s="309">
        <f t="shared" si="47"/>
        <v>451773.93116866099</v>
      </c>
      <c r="LI17" s="310">
        <f t="shared" si="48"/>
        <v>4228623.1507235067</v>
      </c>
      <c r="LJ17" s="310">
        <f t="shared" si="68"/>
        <v>4419370.795229882</v>
      </c>
      <c r="LK17" s="16"/>
      <c r="LL17" s="261"/>
      <c r="LN17" s="264">
        <v>12</v>
      </c>
      <c r="LO17" s="311">
        <v>12</v>
      </c>
      <c r="LP17" s="273">
        <f t="shared" si="14"/>
        <v>4705591.6784000006</v>
      </c>
      <c r="LQ17" s="273">
        <f t="shared" si="14"/>
        <v>4644485.4552220721</v>
      </c>
      <c r="LR17" s="270">
        <f t="shared" si="15"/>
        <v>5340060.7715318669</v>
      </c>
      <c r="LS17" s="273">
        <f t="shared" si="16"/>
        <v>4440170.5169218928</v>
      </c>
      <c r="LT17" s="273">
        <f t="shared" si="16"/>
        <v>4446492.5807047384</v>
      </c>
      <c r="LU17" s="270">
        <f t="shared" si="49"/>
        <v>4662711.2607757691</v>
      </c>
      <c r="LV17" s="273">
        <f t="shared" si="50"/>
        <v>265421.1614781078</v>
      </c>
      <c r="LW17" s="273">
        <f t="shared" si="50"/>
        <v>197992.87451733369</v>
      </c>
      <c r="LX17" s="273">
        <f t="shared" si="50"/>
        <v>677349.51075609773</v>
      </c>
      <c r="MH17" s="207">
        <f t="shared" si="79"/>
        <v>11</v>
      </c>
      <c r="MI17" s="322" t="s">
        <v>50</v>
      </c>
      <c r="MJ17" s="214">
        <f t="shared" si="99"/>
        <v>27206919.806031119</v>
      </c>
      <c r="MK17" s="312">
        <f t="shared" si="100"/>
        <v>1.2165255540647635</v>
      </c>
      <c r="ML17" s="29"/>
      <c r="MM17" s="313">
        <f t="shared" si="101"/>
        <v>27206919.806031119</v>
      </c>
      <c r="MN17" s="312">
        <f t="shared" si="102"/>
        <v>1.2165255540647635</v>
      </c>
      <c r="MR17" s="207">
        <f t="shared" si="80"/>
        <v>11</v>
      </c>
      <c r="MS17" s="322" t="str">
        <f t="shared" si="53"/>
        <v>Building</v>
      </c>
      <c r="MT17" s="315">
        <v>25073716.728897151</v>
      </c>
      <c r="MU17" s="214">
        <f t="shared" si="103"/>
        <v>27206919.806031119</v>
      </c>
      <c r="MV17" s="214">
        <f t="shared" si="70"/>
        <v>2133203.0771339685</v>
      </c>
      <c r="MW17" s="332">
        <f t="shared" si="71"/>
        <v>8.5077258397654232E-2</v>
      </c>
    </row>
    <row r="18" spans="1:364" s="29" customFormat="1" x14ac:dyDescent="0.3">
      <c r="B18" s="190">
        <f t="shared" si="72"/>
        <v>13</v>
      </c>
      <c r="C18" s="317"/>
      <c r="D18" s="29" t="s">
        <v>53</v>
      </c>
      <c r="E18" s="210"/>
      <c r="F18" s="313">
        <f>ES9</f>
        <v>7459130.2179999985</v>
      </c>
      <c r="G18" s="318">
        <f t="shared" si="94"/>
        <v>0.35500601886752986</v>
      </c>
      <c r="H18" s="313">
        <f>EW9</f>
        <v>7476380.9766431823</v>
      </c>
      <c r="I18" s="234">
        <f t="shared" si="95"/>
        <v>0.35427700278706098</v>
      </c>
      <c r="J18" s="215">
        <f t="shared" si="54"/>
        <v>17250.758643183857</v>
      </c>
      <c r="K18" s="313">
        <f>JB26</f>
        <v>7709512.1483065821</v>
      </c>
      <c r="L18" s="234">
        <f t="shared" si="96"/>
        <v>0.35461831087070245</v>
      </c>
      <c r="M18" s="215">
        <f t="shared" si="55"/>
        <v>233131.17166339979</v>
      </c>
      <c r="N18" s="313">
        <f>LF27</f>
        <v>8184919.783877925</v>
      </c>
      <c r="O18" s="234">
        <f t="shared" si="97"/>
        <v>0.36597910186255167</v>
      </c>
      <c r="P18" s="215">
        <f t="shared" si="56"/>
        <v>475407.63557134289</v>
      </c>
      <c r="Q18" s="313">
        <f t="shared" si="57"/>
        <v>725789.56587792654</v>
      </c>
      <c r="R18" s="235">
        <f t="shared" si="58"/>
        <v>3.0909568885693739E-2</v>
      </c>
      <c r="S18" s="12"/>
      <c r="T18" s="13"/>
      <c r="U18" s="12"/>
      <c r="V18" s="174">
        <f>V16+1</f>
        <v>9</v>
      </c>
      <c r="W18" s="272" t="s">
        <v>174</v>
      </c>
      <c r="X18" s="273">
        <f>SUMPRODUCT($LX$6:$LX$25,HO6:HO25)</f>
        <v>-1588412.7633390853</v>
      </c>
      <c r="Y18" s="273">
        <f>SUMPRODUCT($LX$6:$LX$25,HP6:HP25)</f>
        <v>3315816.7519299495</v>
      </c>
      <c r="Z18" s="273">
        <f>SUMPRODUCT($LX$6:$LX$25,HQ6:HQ25)</f>
        <v>11056719.523008239</v>
      </c>
      <c r="AA18" s="273">
        <f>SUM(X18:Z18)</f>
        <v>12784123.511599103</v>
      </c>
      <c r="AB18" s="273"/>
      <c r="AC18" s="12"/>
      <c r="AD18" s="13"/>
      <c r="AE18" s="12"/>
      <c r="AF18" s="319">
        <f t="shared" si="73"/>
        <v>12</v>
      </c>
      <c r="AG18" s="206" t="s">
        <v>26</v>
      </c>
      <c r="AK18" s="12"/>
      <c r="AL18" s="409"/>
      <c r="AM18" s="12"/>
      <c r="AN18" s="433">
        <f>AN17+1</f>
        <v>13</v>
      </c>
      <c r="AO18" s="434"/>
      <c r="AP18" s="435"/>
      <c r="AQ18" s="435" t="s">
        <v>54</v>
      </c>
      <c r="AR18" s="436"/>
      <c r="AS18" s="437">
        <v>5928822.8260000004</v>
      </c>
      <c r="AT18" s="438">
        <v>0.57815077141840288</v>
      </c>
      <c r="AU18" s="439"/>
      <c r="AV18" s="437">
        <v>3792013.7597000003</v>
      </c>
      <c r="AW18" s="438">
        <v>0.35137968141626907</v>
      </c>
      <c r="AX18" s="440">
        <f t="shared" si="82"/>
        <v>-0.39223521132002692</v>
      </c>
      <c r="AY18" s="439"/>
      <c r="AZ18" s="437">
        <v>5238845.7033359464</v>
      </c>
      <c r="BA18" s="438">
        <v>0.40606900530629209</v>
      </c>
      <c r="BB18" s="440">
        <f t="shared" si="83"/>
        <v>0.15564167987628807</v>
      </c>
      <c r="BC18" s="439"/>
      <c r="BD18" s="437">
        <v>5407089.8699504221</v>
      </c>
      <c r="BE18" s="438">
        <v>0.36767645852816944</v>
      </c>
      <c r="BF18" s="440">
        <f t="shared" si="84"/>
        <v>-9.4546853555502741E-2</v>
      </c>
      <c r="BG18" s="439"/>
      <c r="BH18" s="437">
        <v>7543565.8774000006</v>
      </c>
      <c r="BI18" s="438">
        <v>0.49640433719995791</v>
      </c>
      <c r="BJ18" s="440">
        <f t="shared" si="85"/>
        <v>0.3501118325255137</v>
      </c>
      <c r="BK18" s="439"/>
      <c r="BL18" s="437">
        <v>8178976.4044999983</v>
      </c>
      <c r="BM18" s="438">
        <v>0.48622711326046231</v>
      </c>
      <c r="BN18" s="440">
        <f t="shared" si="86"/>
        <v>-2.050188359936933E-2</v>
      </c>
      <c r="BO18" s="439"/>
      <c r="BP18" s="437">
        <v>9693134.9169999994</v>
      </c>
      <c r="BQ18" s="438">
        <v>0.52259989598697731</v>
      </c>
      <c r="BR18" s="440">
        <f t="shared" si="87"/>
        <v>7.4806158962654967E-2</v>
      </c>
      <c r="BS18" s="439"/>
      <c r="BT18" s="435">
        <v>9228973</v>
      </c>
      <c r="BU18" s="435">
        <v>0.47</v>
      </c>
      <c r="BV18" s="435">
        <f t="shared" si="88"/>
        <v>-0.10065041419045384</v>
      </c>
      <c r="BW18" s="441">
        <v>10423908.153099999</v>
      </c>
      <c r="BX18" s="442">
        <v>0.53850471411588496</v>
      </c>
      <c r="BY18" s="443">
        <f t="shared" si="60"/>
        <v>0.14575471088486158</v>
      </c>
      <c r="BZ18" s="443">
        <v>10530651.726950001</v>
      </c>
      <c r="CA18" s="443">
        <v>0.51623445214666785</v>
      </c>
      <c r="CB18" s="443">
        <f t="shared" si="61"/>
        <v>-4.1355741900570675E-2</v>
      </c>
      <c r="CC18" s="443">
        <v>10262021.9365</v>
      </c>
      <c r="CD18" s="443">
        <v>0.49374890570281921</v>
      </c>
      <c r="CE18" s="332">
        <f t="shared" si="98"/>
        <v>-4.3556849703359712E-2</v>
      </c>
      <c r="CF18" s="444">
        <v>12400752.312759999</v>
      </c>
      <c r="CG18" s="443">
        <v>0.59602549136926886</v>
      </c>
      <c r="CH18" s="332">
        <f t="shared" si="89"/>
        <v>0.20714291107312044</v>
      </c>
      <c r="CI18" s="444">
        <f t="shared" ref="CI18:CJ20" si="104">F20</f>
        <v>14105680.704700001</v>
      </c>
      <c r="CJ18" s="443">
        <f t="shared" si="104"/>
        <v>0.67133853466024596</v>
      </c>
      <c r="CK18" s="332">
        <f t="shared" si="91"/>
        <v>0.12635876213609243</v>
      </c>
      <c r="CL18" s="445">
        <f t="shared" si="62"/>
        <v>1.3791705569006996</v>
      </c>
      <c r="CM18" s="332">
        <f t="shared" si="92"/>
        <v>4.6675051472457652E-2</v>
      </c>
      <c r="CN18" s="12"/>
      <c r="CO18" s="13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3"/>
      <c r="DC18" s="12"/>
      <c r="DD18" s="378"/>
      <c r="DE18" s="399"/>
      <c r="DF18" s="19"/>
      <c r="DG18" s="12"/>
      <c r="DH18" s="19"/>
      <c r="DI18" s="12"/>
      <c r="DJ18" s="12"/>
      <c r="DK18" s="12"/>
      <c r="DL18" s="13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3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3"/>
      <c r="EM18" s="12"/>
      <c r="EN18" s="12"/>
      <c r="EO18" s="12"/>
      <c r="EP18" s="12"/>
      <c r="EQ18" s="12"/>
      <c r="ER18" s="12"/>
      <c r="ES18" s="275"/>
      <c r="ET18" s="12"/>
      <c r="EU18" s="12"/>
      <c r="EV18" s="12"/>
      <c r="EW18" s="12"/>
      <c r="EX18" s="12"/>
      <c r="EY18" s="346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346"/>
      <c r="FP18" s="12"/>
      <c r="FQ18" s="207">
        <f t="shared" si="78"/>
        <v>13</v>
      </c>
      <c r="FR18" s="344"/>
      <c r="FS18" s="345" t="s">
        <v>221</v>
      </c>
      <c r="FT18" s="214">
        <v>62838.439999999988</v>
      </c>
      <c r="FU18" s="214">
        <v>51886.36</v>
      </c>
      <c r="FV18" s="214">
        <v>51749.5936</v>
      </c>
      <c r="FW18" s="215">
        <f t="shared" si="22"/>
        <v>166474.39360000001</v>
      </c>
      <c r="FX18" s="214">
        <v>63743.316666666658</v>
      </c>
      <c r="FY18" s="214">
        <v>51886.36</v>
      </c>
      <c r="FZ18" s="214">
        <v>51749.5936</v>
      </c>
      <c r="GA18" s="214">
        <v>167379.27026666666</v>
      </c>
      <c r="GB18" s="214">
        <v>167379.27026666666</v>
      </c>
      <c r="GC18" s="16"/>
      <c r="GD18" s="346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3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3"/>
      <c r="HE18" s="12"/>
      <c r="HF18" s="12"/>
      <c r="HG18" s="207">
        <v>13</v>
      </c>
      <c r="HH18" s="231">
        <v>13</v>
      </c>
      <c r="HI18" s="231">
        <v>10</v>
      </c>
      <c r="HJ18" s="231">
        <v>10</v>
      </c>
      <c r="HK18" s="232">
        <v>100749044</v>
      </c>
      <c r="HL18" s="232">
        <v>99526986</v>
      </c>
      <c r="HM18" s="234">
        <f t="shared" si="1"/>
        <v>1</v>
      </c>
      <c r="HN18" s="234">
        <f t="shared" si="2"/>
        <v>0.98787027696262808</v>
      </c>
      <c r="HO18" s="235">
        <v>0</v>
      </c>
      <c r="HP18" s="235">
        <v>1</v>
      </c>
      <c r="HQ18" s="235">
        <v>0</v>
      </c>
      <c r="HR18" s="12"/>
      <c r="HS18" s="13"/>
      <c r="HT18" s="12"/>
      <c r="HU18" s="348">
        <v>13</v>
      </c>
      <c r="HV18" s="242">
        <v>13</v>
      </c>
      <c r="HW18" s="238">
        <f t="shared" si="3"/>
        <v>0.98787027696262808</v>
      </c>
      <c r="HX18" s="214">
        <v>3573.62</v>
      </c>
      <c r="HY18" s="215">
        <f t="shared" si="23"/>
        <v>3530.2729791591869</v>
      </c>
      <c r="HZ18" s="214">
        <v>11006674</v>
      </c>
      <c r="IA18" s="215">
        <v>11969388</v>
      </c>
      <c r="IB18" s="214">
        <v>5267732.7087999992</v>
      </c>
      <c r="IC18" s="215">
        <v>5612527</v>
      </c>
      <c r="ID18" s="214">
        <v>225000</v>
      </c>
      <c r="IE18" s="214">
        <v>225000</v>
      </c>
      <c r="IF18" s="214">
        <f t="shared" si="24"/>
        <v>5496306.3287999993</v>
      </c>
      <c r="IG18" s="214">
        <f t="shared" si="24"/>
        <v>5841057.2729791589</v>
      </c>
      <c r="IH18" s="239"/>
      <c r="II18" s="240"/>
      <c r="IJ18" s="239"/>
      <c r="IK18" s="241">
        <v>13</v>
      </c>
      <c r="IL18" s="242">
        <v>13</v>
      </c>
      <c r="IM18" s="243">
        <f t="shared" si="4"/>
        <v>1</v>
      </c>
      <c r="IN18" s="244">
        <f t="shared" si="4"/>
        <v>0.98787027696262808</v>
      </c>
      <c r="IO18" s="214">
        <v>1757450.4608151005</v>
      </c>
      <c r="IP18" s="215">
        <f t="shared" si="63"/>
        <v>1736133.0734735117</v>
      </c>
      <c r="IQ18" s="214">
        <v>82098.66034991105</v>
      </c>
      <c r="IR18" s="215">
        <f t="shared" si="25"/>
        <v>81102.826338127357</v>
      </c>
      <c r="IS18" s="214">
        <v>1225522.9731848994</v>
      </c>
      <c r="IT18" s="215">
        <f t="shared" si="26"/>
        <v>1225522.9731848994</v>
      </c>
      <c r="IU18" s="214">
        <v>1299346.1000000001</v>
      </c>
      <c r="IV18" s="215">
        <v>1299417.2</v>
      </c>
      <c r="IW18" s="214">
        <v>67155.506162087346</v>
      </c>
      <c r="IX18" s="215">
        <f t="shared" si="27"/>
        <v>66340.928471906707</v>
      </c>
      <c r="IY18" s="214">
        <v>101065.13639999999</v>
      </c>
      <c r="IZ18" s="215">
        <f t="shared" si="28"/>
        <v>99839.244286733767</v>
      </c>
      <c r="JA18" s="214">
        <v>220601.09999999998</v>
      </c>
      <c r="JB18" s="215">
        <f t="shared" si="29"/>
        <v>217925.26975526038</v>
      </c>
      <c r="JC18" s="214">
        <v>495479.07489999989</v>
      </c>
      <c r="JD18" s="215">
        <f t="shared" si="30"/>
        <v>489469.05095064966</v>
      </c>
      <c r="JE18" s="214">
        <f t="shared" si="31"/>
        <v>5248719.0118119987</v>
      </c>
      <c r="JF18" s="214">
        <f t="shared" si="31"/>
        <v>5215750.5664610891</v>
      </c>
      <c r="JG18" s="245">
        <f t="shared" si="5"/>
        <v>5.2405390498423108</v>
      </c>
      <c r="JH18" s="12"/>
      <c r="JI18" s="13"/>
      <c r="JJ18" s="12"/>
      <c r="JK18" s="207">
        <v>13</v>
      </c>
      <c r="JL18" s="231">
        <v>13</v>
      </c>
      <c r="JM18" s="29">
        <f t="shared" si="6"/>
        <v>10</v>
      </c>
      <c r="JN18" s="324">
        <f t="shared" si="32"/>
        <v>10</v>
      </c>
      <c r="JO18" s="213">
        <f t="shared" si="7"/>
        <v>99526986</v>
      </c>
      <c r="JP18" s="213">
        <f t="shared" si="8"/>
        <v>102384273.41234887</v>
      </c>
      <c r="JQ18" s="247">
        <f t="shared" si="33"/>
        <v>1</v>
      </c>
      <c r="JR18" s="247">
        <f t="shared" si="34"/>
        <v>1.0287086701525239</v>
      </c>
      <c r="JS18" s="247">
        <f t="shared" si="35"/>
        <v>1.0450096087933416</v>
      </c>
      <c r="JT18" s="231" t="s">
        <v>241</v>
      </c>
      <c r="JU18" s="248"/>
      <c r="JV18" s="249"/>
      <c r="JW18" s="248"/>
      <c r="JX18" s="207">
        <v>13</v>
      </c>
      <c r="JY18" s="231">
        <v>13</v>
      </c>
      <c r="JZ18" s="250" t="str">
        <f t="shared" si="9"/>
        <v>Q3</v>
      </c>
      <c r="KA18" s="251">
        <f t="shared" si="10"/>
        <v>1.0450096087933416</v>
      </c>
      <c r="KB18" s="214">
        <f t="shared" si="36"/>
        <v>3530.2729791591869</v>
      </c>
      <c r="KC18" s="214">
        <f t="shared" si="37"/>
        <v>3689.1691848848463</v>
      </c>
      <c r="KD18" s="214">
        <f t="shared" si="11"/>
        <v>11969388</v>
      </c>
      <c r="KE18" s="214">
        <f t="shared" si="38"/>
        <v>11281802.139629377</v>
      </c>
      <c r="KF18" s="214">
        <f t="shared" si="12"/>
        <v>5612527</v>
      </c>
      <c r="KG18" s="214">
        <f t="shared" si="13"/>
        <v>5776967.6388266962</v>
      </c>
      <c r="KH18" s="214">
        <f t="shared" si="39"/>
        <v>225000</v>
      </c>
      <c r="KI18" s="214">
        <f t="shared" si="40"/>
        <v>217379.91309581933</v>
      </c>
      <c r="KJ18" s="214">
        <f t="shared" si="41"/>
        <v>5841057.2729791589</v>
      </c>
      <c r="KK18" s="214">
        <f t="shared" si="41"/>
        <v>5998036.721107401</v>
      </c>
      <c r="KL18" s="252"/>
      <c r="KM18" s="249"/>
      <c r="KN18" s="248"/>
      <c r="KO18" s="295">
        <f t="shared" si="64"/>
        <v>13</v>
      </c>
      <c r="KP18" s="296">
        <v>12</v>
      </c>
      <c r="KQ18" s="349">
        <f t="shared" si="65"/>
        <v>1</v>
      </c>
      <c r="KR18" s="349">
        <f t="shared" si="65"/>
        <v>1.0287086701525239</v>
      </c>
      <c r="KS18" s="301">
        <v>1.69933333</v>
      </c>
      <c r="KT18" s="270">
        <f t="shared" si="66"/>
        <v>1680098.1657998082</v>
      </c>
      <c r="KU18" s="301">
        <v>1.69933333</v>
      </c>
      <c r="KV18" s="270">
        <f t="shared" si="42"/>
        <v>186580.08249768993</v>
      </c>
      <c r="KW18" s="301">
        <v>1.69933333</v>
      </c>
      <c r="KX18" s="270">
        <f t="shared" si="43"/>
        <v>803664.51843627437</v>
      </c>
      <c r="KY18" s="301">
        <v>1.7150382799999999</v>
      </c>
      <c r="KZ18" s="270">
        <f t="shared" si="67"/>
        <v>918271.99497404217</v>
      </c>
      <c r="LA18" s="301">
        <v>1.69933333</v>
      </c>
      <c r="LB18" s="270">
        <f t="shared" si="44"/>
        <v>117019.64149953467</v>
      </c>
      <c r="LC18" s="301">
        <v>1.69933333</v>
      </c>
      <c r="LD18" s="270">
        <f t="shared" si="45"/>
        <v>102143.74187152981</v>
      </c>
      <c r="LE18" s="301">
        <v>1.69933333</v>
      </c>
      <c r="LF18" s="270">
        <f t="shared" si="46"/>
        <v>278211.36750030745</v>
      </c>
      <c r="LG18" s="301">
        <v>1.69933333</v>
      </c>
      <c r="LH18" s="270">
        <f t="shared" si="47"/>
        <v>576721.74819658173</v>
      </c>
      <c r="LI18" s="273">
        <f t="shared" si="48"/>
        <v>4446492.5807047384</v>
      </c>
      <c r="LJ18" s="273">
        <f t="shared" si="68"/>
        <v>4662711.2607757691</v>
      </c>
      <c r="LK18" s="16"/>
      <c r="LL18" s="261"/>
      <c r="LM18" s="12"/>
      <c r="LN18" s="207">
        <v>13</v>
      </c>
      <c r="LO18" s="262">
        <v>13</v>
      </c>
      <c r="LP18" s="214">
        <f t="shared" si="14"/>
        <v>5496306.3287999993</v>
      </c>
      <c r="LQ18" s="214">
        <f t="shared" si="14"/>
        <v>5841057.2729791589</v>
      </c>
      <c r="LR18" s="215">
        <f t="shared" si="15"/>
        <v>5998036.721107401</v>
      </c>
      <c r="LS18" s="214">
        <f t="shared" si="16"/>
        <v>5248719.0118119987</v>
      </c>
      <c r="LT18" s="214">
        <f t="shared" si="16"/>
        <v>5215750.5664610891</v>
      </c>
      <c r="LU18" s="215">
        <f t="shared" si="49"/>
        <v>5450509.459021152</v>
      </c>
      <c r="LV18" s="214">
        <f t="shared" si="50"/>
        <v>247587.31698800065</v>
      </c>
      <c r="LW18" s="214">
        <f t="shared" si="50"/>
        <v>625306.70651806984</v>
      </c>
      <c r="LX18" s="214">
        <f t="shared" si="50"/>
        <v>547527.26208624896</v>
      </c>
      <c r="LY18" s="12"/>
      <c r="LZ18" s="13"/>
      <c r="MA18" s="12"/>
      <c r="MB18" s="12"/>
      <c r="MC18" s="12"/>
      <c r="MD18" s="12"/>
      <c r="ME18" s="12"/>
      <c r="MF18" s="13"/>
      <c r="MG18" s="12"/>
      <c r="MH18" s="264">
        <f t="shared" si="79"/>
        <v>12</v>
      </c>
      <c r="MI18" s="274" t="s">
        <v>53</v>
      </c>
      <c r="MJ18" s="273">
        <f t="shared" si="99"/>
        <v>8184919.783877925</v>
      </c>
      <c r="MK18" s="352">
        <f t="shared" si="100"/>
        <v>0.36597910186255167</v>
      </c>
      <c r="ML18" s="12"/>
      <c r="MM18" s="267">
        <f t="shared" si="101"/>
        <v>8184919.783877925</v>
      </c>
      <c r="MN18" s="352">
        <f t="shared" si="102"/>
        <v>0.36597910186255167</v>
      </c>
      <c r="MO18" s="12"/>
      <c r="MP18" s="13"/>
      <c r="MQ18" s="12"/>
      <c r="MR18" s="264">
        <f t="shared" si="80"/>
        <v>12</v>
      </c>
      <c r="MS18" s="274" t="str">
        <f t="shared" si="53"/>
        <v>Equipment</v>
      </c>
      <c r="MT18" s="353">
        <v>6373694.2574856943</v>
      </c>
      <c r="MU18" s="273">
        <f t="shared" si="103"/>
        <v>8184919.783877925</v>
      </c>
      <c r="MV18" s="273">
        <f t="shared" si="70"/>
        <v>1811225.5263922308</v>
      </c>
      <c r="MW18" s="279">
        <f t="shared" si="71"/>
        <v>0.28417201284247451</v>
      </c>
      <c r="MX18" s="12"/>
      <c r="MY18" s="13"/>
      <c r="MZ18" s="12"/>
    </row>
    <row r="19" spans="1:364" x14ac:dyDescent="0.3">
      <c r="B19" s="152">
        <f t="shared" si="72"/>
        <v>14</v>
      </c>
      <c r="C19" s="265"/>
      <c r="D19" s="12" t="s">
        <v>51</v>
      </c>
      <c r="E19" s="266"/>
      <c r="F19" s="267">
        <f>FF9</f>
        <v>4588338.7299999995</v>
      </c>
      <c r="G19" s="268">
        <f t="shared" si="94"/>
        <v>0.21837504080867864</v>
      </c>
      <c r="H19" s="267">
        <f>FM9</f>
        <v>4045830.3192858854</v>
      </c>
      <c r="I19" s="269">
        <f t="shared" si="95"/>
        <v>0.19171637237046985</v>
      </c>
      <c r="J19" s="270">
        <f t="shared" si="54"/>
        <v>-542508.41071411408</v>
      </c>
      <c r="K19" s="267">
        <f>IX26+IZ26</f>
        <v>4141050.6639200281</v>
      </c>
      <c r="L19" s="269">
        <f t="shared" si="96"/>
        <v>0.19047799178731176</v>
      </c>
      <c r="M19" s="270">
        <f t="shared" si="55"/>
        <v>95220.344634142704</v>
      </c>
      <c r="N19" s="267">
        <f>LB27+LD27</f>
        <v>4396359.7804314438</v>
      </c>
      <c r="O19" s="269">
        <f t="shared" si="97"/>
        <v>0.19657807851412193</v>
      </c>
      <c r="P19" s="270">
        <f t="shared" si="56"/>
        <v>255309.11651141569</v>
      </c>
      <c r="Q19" s="267">
        <f t="shared" si="57"/>
        <v>-191978.94956855569</v>
      </c>
      <c r="R19" s="271">
        <f t="shared" si="58"/>
        <v>-9.9814347893600774E-2</v>
      </c>
      <c r="V19" s="319">
        <f t="shared" si="59"/>
        <v>10</v>
      </c>
      <c r="W19" s="320" t="s">
        <v>181</v>
      </c>
      <c r="X19" s="234">
        <f>X18/N$24*100</f>
        <v>-7.1024016345145713E-2</v>
      </c>
      <c r="Y19" s="234">
        <f>Y18/N$24*100</f>
        <v>0.14826286253928</v>
      </c>
      <c r="Z19" s="234">
        <f>Z18/N$24*100</f>
        <v>0.49438826371240202</v>
      </c>
      <c r="AA19" s="234">
        <f>AA18/N$24*100</f>
        <v>0.57162710990653631</v>
      </c>
      <c r="AB19" s="269"/>
      <c r="AC19" s="276"/>
      <c r="AF19" s="174">
        <f t="shared" si="73"/>
        <v>13</v>
      </c>
      <c r="AG19" s="274" t="s">
        <v>78</v>
      </c>
      <c r="AH19" s="19">
        <f>AH15*KR27</f>
        <v>1964352.0975619776</v>
      </c>
      <c r="AI19" s="19">
        <f>AI15*KR27</f>
        <v>136244.57382818218</v>
      </c>
      <c r="AJ19" s="19">
        <f>AJ15*KQ27</f>
        <v>582220.65309760277</v>
      </c>
      <c r="AL19" s="409"/>
      <c r="AN19" s="264">
        <f>AN18+1</f>
        <v>14</v>
      </c>
      <c r="AO19" s="2"/>
      <c r="AP19" s="446" t="s">
        <v>60</v>
      </c>
      <c r="AQ19" s="5"/>
      <c r="AR19" s="266"/>
      <c r="AS19" s="276">
        <v>32802383.3928</v>
      </c>
      <c r="AT19" s="277">
        <v>3.1987333437832652</v>
      </c>
      <c r="AU19" s="278"/>
      <c r="AV19" s="276">
        <v>36250313.730549999</v>
      </c>
      <c r="AW19" s="277">
        <v>3.359065788539803</v>
      </c>
      <c r="AX19" s="279">
        <f t="shared" si="82"/>
        <v>5.012372946564736E-2</v>
      </c>
      <c r="AY19" s="278"/>
      <c r="AZ19" s="276">
        <v>43223045.707989462</v>
      </c>
      <c r="BA19" s="277">
        <v>3.3502683932407789</v>
      </c>
      <c r="BB19" s="279">
        <f t="shared" si="83"/>
        <v>-2.6190005950578188E-3</v>
      </c>
      <c r="BC19" s="278"/>
      <c r="BD19" s="276">
        <v>49380961.369565383</v>
      </c>
      <c r="BE19" s="277">
        <v>3.3578537497555252</v>
      </c>
      <c r="BF19" s="279">
        <f t="shared" si="84"/>
        <v>2.2641041326867395E-3</v>
      </c>
      <c r="BG19" s="278"/>
      <c r="BH19" s="276">
        <v>57308507.547660008</v>
      </c>
      <c r="BI19" s="277">
        <v>3.7711862224659241</v>
      </c>
      <c r="BJ19" s="279">
        <f t="shared" si="85"/>
        <v>0.12309424516791179</v>
      </c>
      <c r="BK19" s="278"/>
      <c r="BL19" s="276">
        <v>61753474.575707734</v>
      </c>
      <c r="BM19" s="277">
        <v>3.6711456534132534</v>
      </c>
      <c r="BN19" s="279">
        <f t="shared" si="86"/>
        <v>-2.6527613103989212E-2</v>
      </c>
      <c r="BO19" s="278"/>
      <c r="BP19" s="276">
        <v>74174917.572400004</v>
      </c>
      <c r="BQ19" s="277">
        <v>3.9990987993156044</v>
      </c>
      <c r="BR19" s="279">
        <f t="shared" si="87"/>
        <v>8.9332643502563425E-2</v>
      </c>
      <c r="BS19" s="278"/>
      <c r="BT19" s="12">
        <v>83233170</v>
      </c>
      <c r="BU19" s="12">
        <v>4.24</v>
      </c>
      <c r="BV19" s="12">
        <f t="shared" si="88"/>
        <v>6.0238871999267252E-2</v>
      </c>
      <c r="BW19" s="280">
        <v>91278660.188299984</v>
      </c>
      <c r="BX19" s="281">
        <v>4.7155047883804926</v>
      </c>
      <c r="BY19" s="282">
        <f t="shared" si="60"/>
        <v>0.11214735575011603</v>
      </c>
      <c r="BZ19" s="282">
        <v>96836161.677461118</v>
      </c>
      <c r="CA19" s="282">
        <v>4.7471100714133083</v>
      </c>
      <c r="CB19" s="282">
        <f t="shared" si="61"/>
        <v>6.7024177582630795E-3</v>
      </c>
      <c r="CC19" s="282">
        <v>99050498.270500004</v>
      </c>
      <c r="CD19" s="282">
        <v>4.7657348067469085</v>
      </c>
      <c r="CE19" s="447">
        <f t="shared" si="98"/>
        <v>3.923383922727286E-3</v>
      </c>
      <c r="CF19" s="267">
        <v>104216563.686424</v>
      </c>
      <c r="CG19" s="282">
        <v>5.0090290502861157</v>
      </c>
      <c r="CH19" s="447">
        <f t="shared" si="89"/>
        <v>5.1050730559907054E-2</v>
      </c>
      <c r="CI19" s="267">
        <f t="shared" si="104"/>
        <v>109563607.96460003</v>
      </c>
      <c r="CJ19" s="282">
        <f t="shared" si="104"/>
        <v>5.2145141778614077</v>
      </c>
      <c r="CK19" s="447">
        <f t="shared" si="91"/>
        <v>4.1022945866835192E-2</v>
      </c>
      <c r="CL19" s="284">
        <f>CI19/AS19-1</f>
        <v>2.3401111941350221</v>
      </c>
      <c r="CM19" s="447">
        <f t="shared" si="92"/>
        <v>6.5531674954797614E-2</v>
      </c>
      <c r="DD19" s="378"/>
      <c r="DE19" s="399"/>
      <c r="DF19" s="19"/>
      <c r="DG19" s="12"/>
      <c r="DH19" s="19"/>
      <c r="EB19" s="12"/>
      <c r="EC19" s="12"/>
      <c r="ED19" s="12"/>
      <c r="EE19" s="12"/>
      <c r="EF19" s="12"/>
      <c r="EY19" s="346"/>
      <c r="FO19" s="346"/>
      <c r="FQ19" s="264">
        <f t="shared" si="78"/>
        <v>14</v>
      </c>
      <c r="FR19" s="292"/>
      <c r="FS19" s="293" t="s">
        <v>222</v>
      </c>
      <c r="FT19" s="273">
        <v>93782.948999999993</v>
      </c>
      <c r="FU19" s="273">
        <v>85242.99</v>
      </c>
      <c r="FV19" s="273">
        <v>159253.69999999998</v>
      </c>
      <c r="FW19" s="270">
        <f t="shared" si="22"/>
        <v>338279.63899999997</v>
      </c>
      <c r="FX19" s="273">
        <v>94081.70259999999</v>
      </c>
      <c r="FY19" s="273">
        <v>85242.99</v>
      </c>
      <c r="FZ19" s="273">
        <v>160557.36666666664</v>
      </c>
      <c r="GA19" s="273">
        <v>339882.05926666665</v>
      </c>
      <c r="GB19" s="273">
        <v>339882.05926666665</v>
      </c>
      <c r="GC19" s="16"/>
      <c r="GD19" s="346"/>
      <c r="HG19" s="264">
        <v>14</v>
      </c>
      <c r="HH19" s="248">
        <v>14</v>
      </c>
      <c r="HI19" s="248">
        <v>11</v>
      </c>
      <c r="HJ19" s="248">
        <v>12</v>
      </c>
      <c r="HK19" s="275">
        <v>138855409</v>
      </c>
      <c r="HL19" s="275">
        <v>152005297</v>
      </c>
      <c r="HM19" s="269">
        <f>HJ19/HI19</f>
        <v>1.0909090909090908</v>
      </c>
      <c r="HN19" s="269">
        <f t="shared" si="2"/>
        <v>1.0947020220148571</v>
      </c>
      <c r="HO19" s="271">
        <v>0</v>
      </c>
      <c r="HP19" s="271">
        <v>1</v>
      </c>
      <c r="HQ19" s="271">
        <v>0</v>
      </c>
      <c r="HU19" s="295">
        <v>14</v>
      </c>
      <c r="HV19" s="296">
        <v>14</v>
      </c>
      <c r="HW19" s="297">
        <f t="shared" si="3"/>
        <v>1.0947020220148571</v>
      </c>
      <c r="HX19" s="273">
        <v>28094.01</v>
      </c>
      <c r="HY19" s="270">
        <f t="shared" si="23"/>
        <v>30754.569553505615</v>
      </c>
      <c r="HZ19" s="273">
        <v>15322762</v>
      </c>
      <c r="IA19" s="270">
        <v>16775620</v>
      </c>
      <c r="IB19" s="273">
        <v>7793189.8315999992</v>
      </c>
      <c r="IC19" s="270">
        <v>8017090</v>
      </c>
      <c r="ID19" s="273">
        <v>247500</v>
      </c>
      <c r="IE19" s="273">
        <v>270000</v>
      </c>
      <c r="IF19" s="273">
        <f t="shared" si="24"/>
        <v>8068783.841599999</v>
      </c>
      <c r="IG19" s="273">
        <f t="shared" si="24"/>
        <v>8317844.5695535056</v>
      </c>
      <c r="IH19" s="239"/>
      <c r="II19" s="240"/>
      <c r="IJ19" s="239"/>
      <c r="IK19" s="298">
        <v>14</v>
      </c>
      <c r="IL19" s="296">
        <v>14</v>
      </c>
      <c r="IM19" s="299">
        <f t="shared" si="4"/>
        <v>1.0909090909090908</v>
      </c>
      <c r="IN19" s="300">
        <f t="shared" si="4"/>
        <v>1.0947020220148571</v>
      </c>
      <c r="IO19" s="273">
        <v>3335308.8565488569</v>
      </c>
      <c r="IP19" s="270">
        <f t="shared" si="63"/>
        <v>3651169.3493080945</v>
      </c>
      <c r="IQ19" s="273">
        <v>145754.82144557533</v>
      </c>
      <c r="IR19" s="270">
        <f t="shared" si="25"/>
        <v>159558.09775488576</v>
      </c>
      <c r="IS19" s="273">
        <v>1443676.5659511432</v>
      </c>
      <c r="IT19" s="270">
        <f t="shared" si="26"/>
        <v>1574919.8901285196</v>
      </c>
      <c r="IU19" s="273">
        <v>1702134.6</v>
      </c>
      <c r="IV19" s="270">
        <v>1872274.6</v>
      </c>
      <c r="IW19" s="273">
        <v>88794.585551194963</v>
      </c>
      <c r="IX19" s="270">
        <f t="shared" si="27"/>
        <v>97203.612346864335</v>
      </c>
      <c r="IY19" s="273">
        <v>60440.200000000004</v>
      </c>
      <c r="IZ19" s="270">
        <f t="shared" si="28"/>
        <v>66164.009150982369</v>
      </c>
      <c r="JA19" s="273">
        <v>403646.67499999999</v>
      </c>
      <c r="JB19" s="270">
        <f t="shared" si="29"/>
        <v>441872.83130207384</v>
      </c>
      <c r="JC19" s="273">
        <v>774838.96044620639</v>
      </c>
      <c r="JD19" s="270">
        <f t="shared" si="30"/>
        <v>848217.77673635201</v>
      </c>
      <c r="JE19" s="273">
        <f t="shared" si="31"/>
        <v>7954595.2649429766</v>
      </c>
      <c r="JF19" s="273">
        <f t="shared" si="31"/>
        <v>8711380.166727772</v>
      </c>
      <c r="JG19" s="301">
        <f t="shared" si="5"/>
        <v>5.7309714455067784</v>
      </c>
      <c r="JK19" s="264">
        <v>14</v>
      </c>
      <c r="JL19" s="248">
        <v>14</v>
      </c>
      <c r="JM19" s="12">
        <f t="shared" si="6"/>
        <v>12</v>
      </c>
      <c r="JN19" s="18">
        <f t="shared" si="32"/>
        <v>12</v>
      </c>
      <c r="JO19" s="302">
        <f t="shared" si="7"/>
        <v>152005297</v>
      </c>
      <c r="JP19" s="302">
        <f t="shared" si="8"/>
        <v>156369166.93300942</v>
      </c>
      <c r="JQ19" s="303">
        <f t="shared" si="33"/>
        <v>1</v>
      </c>
      <c r="JR19" s="303">
        <f t="shared" si="34"/>
        <v>1.0287086701525239</v>
      </c>
      <c r="JS19" s="303">
        <f t="shared" si="35"/>
        <v>1.0479518148414979</v>
      </c>
      <c r="JT19" s="248" t="s">
        <v>241</v>
      </c>
      <c r="JU19" s="248"/>
      <c r="JV19" s="249"/>
      <c r="JW19" s="248"/>
      <c r="JX19" s="264">
        <v>14</v>
      </c>
      <c r="JY19" s="248">
        <v>14</v>
      </c>
      <c r="JZ19" s="377" t="str">
        <f t="shared" si="9"/>
        <v>Q3</v>
      </c>
      <c r="KA19" s="305">
        <f t="shared" si="10"/>
        <v>1.0479518148414979</v>
      </c>
      <c r="KB19" s="289">
        <f t="shared" si="36"/>
        <v>30754.569553505615</v>
      </c>
      <c r="KC19" s="289">
        <f t="shared" si="37"/>
        <v>32229.306978265286</v>
      </c>
      <c r="KD19" s="289">
        <f t="shared" si="11"/>
        <v>16775620</v>
      </c>
      <c r="KE19" s="289">
        <f t="shared" si="38"/>
        <v>17230439.239158705</v>
      </c>
      <c r="KF19" s="289">
        <f t="shared" si="12"/>
        <v>8017090</v>
      </c>
      <c r="KG19" s="289">
        <f t="shared" si="13"/>
        <v>8823030.98879374</v>
      </c>
      <c r="KH19" s="289">
        <f t="shared" si="39"/>
        <v>270000</v>
      </c>
      <c r="KI19" s="289">
        <f t="shared" si="40"/>
        <v>331999.3860957892</v>
      </c>
      <c r="KJ19" s="289">
        <f t="shared" si="41"/>
        <v>8317844.5695535056</v>
      </c>
      <c r="KK19" s="289">
        <f t="shared" si="41"/>
        <v>9187259.6818677932</v>
      </c>
      <c r="KL19" s="252"/>
      <c r="KM19" s="249"/>
      <c r="KN19" s="248"/>
      <c r="KO19" s="306">
        <f t="shared" si="64"/>
        <v>14</v>
      </c>
      <c r="KP19" s="307">
        <v>13</v>
      </c>
      <c r="KQ19" s="308">
        <f t="shared" si="65"/>
        <v>1</v>
      </c>
      <c r="KR19" s="308">
        <f t="shared" si="65"/>
        <v>1.0287086701525239</v>
      </c>
      <c r="KS19" s="245">
        <v>1.69933333</v>
      </c>
      <c r="KT19" s="215">
        <f t="shared" si="66"/>
        <v>1843266.0505115113</v>
      </c>
      <c r="KU19" s="245">
        <v>1.69933333</v>
      </c>
      <c r="KV19" s="215">
        <f t="shared" si="42"/>
        <v>86107.504472860252</v>
      </c>
      <c r="KW19" s="245">
        <v>1.69933333</v>
      </c>
      <c r="KX19" s="215">
        <f t="shared" si="43"/>
        <v>1264835.5698782369</v>
      </c>
      <c r="KY19" s="245">
        <v>1.7150382799999999</v>
      </c>
      <c r="KZ19" s="215">
        <f t="shared" si="67"/>
        <v>1328819.4682048869</v>
      </c>
      <c r="LA19" s="245">
        <v>1.69933333</v>
      </c>
      <c r="LB19" s="215">
        <f t="shared" si="44"/>
        <v>70434.682156605937</v>
      </c>
      <c r="LC19" s="245">
        <v>1.69933333</v>
      </c>
      <c r="LD19" s="215">
        <f t="shared" si="45"/>
        <v>106000.10581808061</v>
      </c>
      <c r="LE19" s="245">
        <v>1.69933333</v>
      </c>
      <c r="LF19" s="215">
        <f t="shared" si="46"/>
        <v>231372.96179996035</v>
      </c>
      <c r="LG19" s="245">
        <v>1.69933333</v>
      </c>
      <c r="LH19" s="309">
        <f t="shared" si="47"/>
        <v>519673.1161790099</v>
      </c>
      <c r="LI19" s="310">
        <f t="shared" si="48"/>
        <v>5215750.5664610891</v>
      </c>
      <c r="LJ19" s="310">
        <f t="shared" si="68"/>
        <v>5450509.459021152</v>
      </c>
      <c r="LK19" s="16"/>
      <c r="LL19" s="261"/>
      <c r="LN19" s="264">
        <v>14</v>
      </c>
      <c r="LO19" s="311">
        <v>14</v>
      </c>
      <c r="LP19" s="273">
        <f t="shared" si="14"/>
        <v>8068783.841599999</v>
      </c>
      <c r="LQ19" s="273">
        <f t="shared" si="14"/>
        <v>8317844.5695535056</v>
      </c>
      <c r="LR19" s="270">
        <f t="shared" si="15"/>
        <v>9187259.6818677932</v>
      </c>
      <c r="LS19" s="273">
        <f t="shared" si="16"/>
        <v>7954595.2649429766</v>
      </c>
      <c r="LT19" s="273">
        <f t="shared" si="16"/>
        <v>8711380.166727772</v>
      </c>
      <c r="LU19" s="270">
        <f t="shared" si="49"/>
        <v>9129106.6554965992</v>
      </c>
      <c r="LV19" s="273">
        <f t="shared" si="50"/>
        <v>114188.57665702235</v>
      </c>
      <c r="LW19" s="273">
        <f t="shared" si="50"/>
        <v>-393535.59717426635</v>
      </c>
      <c r="LX19" s="273">
        <f t="shared" si="50"/>
        <v>58153.02637119405</v>
      </c>
      <c r="MH19" s="207">
        <f t="shared" si="79"/>
        <v>13</v>
      </c>
      <c r="MI19" s="322" t="s">
        <v>51</v>
      </c>
      <c r="MJ19" s="214">
        <f t="shared" si="99"/>
        <v>4396359.7804314438</v>
      </c>
      <c r="MK19" s="312">
        <f t="shared" si="100"/>
        <v>0.19657807851412193</v>
      </c>
      <c r="ML19" s="29"/>
      <c r="MM19" s="313">
        <f t="shared" si="101"/>
        <v>4396359.7804314438</v>
      </c>
      <c r="MN19" s="312">
        <f t="shared" si="102"/>
        <v>0.19657807851412193</v>
      </c>
      <c r="MR19" s="207">
        <f t="shared" si="80"/>
        <v>13</v>
      </c>
      <c r="MS19" s="322" t="str">
        <f t="shared" si="53"/>
        <v>Vehicle</v>
      </c>
      <c r="MT19" s="315">
        <v>4033354.9580523474</v>
      </c>
      <c r="MU19" s="214">
        <f t="shared" si="103"/>
        <v>4396359.7804314438</v>
      </c>
      <c r="MV19" s="214">
        <f t="shared" si="70"/>
        <v>363004.82237909641</v>
      </c>
      <c r="MW19" s="332">
        <f t="shared" si="71"/>
        <v>9.0000713092305298E-2</v>
      </c>
    </row>
    <row r="20" spans="1:364" s="29" customFormat="1" x14ac:dyDescent="0.3">
      <c r="B20" s="190">
        <f t="shared" si="72"/>
        <v>15</v>
      </c>
      <c r="C20" s="317"/>
      <c r="D20" s="324" t="s">
        <v>54</v>
      </c>
      <c r="E20" s="210"/>
      <c r="F20" s="313">
        <f>FW38</f>
        <v>14105680.704700001</v>
      </c>
      <c r="G20" s="318">
        <f t="shared" si="94"/>
        <v>0.67133853466024596</v>
      </c>
      <c r="H20" s="313">
        <f>GB38</f>
        <v>13652095.174169553</v>
      </c>
      <c r="I20" s="234">
        <f t="shared" si="95"/>
        <v>0.6469203984091354</v>
      </c>
      <c r="J20" s="215">
        <f t="shared" si="54"/>
        <v>-453585.53053044714</v>
      </c>
      <c r="K20" s="313">
        <f>JD26</f>
        <v>14025887.567105127</v>
      </c>
      <c r="L20" s="234">
        <f t="shared" si="96"/>
        <v>0.64515581035847058</v>
      </c>
      <c r="M20" s="215">
        <f t="shared" si="55"/>
        <v>373792.39293557405</v>
      </c>
      <c r="N20" s="313">
        <f>LH27</f>
        <v>14890404.546644907</v>
      </c>
      <c r="O20" s="234">
        <f t="shared" si="97"/>
        <v>0.66580699948768585</v>
      </c>
      <c r="P20" s="215">
        <f t="shared" si="56"/>
        <v>864516.97953977995</v>
      </c>
      <c r="Q20" s="313">
        <f t="shared" si="57"/>
        <v>784723.84194490686</v>
      </c>
      <c r="R20" s="235">
        <f t="shared" si="58"/>
        <v>-8.2395615430589375E-3</v>
      </c>
      <c r="S20" s="12"/>
      <c r="T20" s="13"/>
      <c r="U20" s="12"/>
      <c r="V20" s="174">
        <f t="shared" si="59"/>
        <v>11</v>
      </c>
      <c r="W20" s="408" t="s">
        <v>134</v>
      </c>
      <c r="X20" s="273">
        <f>X18-X14</f>
        <v>-965257.43877869903</v>
      </c>
      <c r="Y20" s="273">
        <f>Y18-Y14</f>
        <v>1130795.1890599173</v>
      </c>
      <c r="Z20" s="273">
        <f>Z18-Z14</f>
        <v>2825570.9479590422</v>
      </c>
      <c r="AA20" s="273">
        <f>AA18-AA14</f>
        <v>2991108.6982402597</v>
      </c>
      <c r="AB20" s="273"/>
      <c r="AC20" s="277"/>
      <c r="AD20" s="13"/>
      <c r="AE20" s="12"/>
      <c r="AF20" s="319">
        <f t="shared" si="73"/>
        <v>14</v>
      </c>
      <c r="AG20" s="322" t="s">
        <v>182</v>
      </c>
      <c r="AH20" s="323">
        <f>AH19*3600/$N$24</f>
        <v>3.1620133213339594</v>
      </c>
      <c r="AI20" s="323">
        <f>AI19*3600/$N$24</f>
        <v>0.21931259570973516</v>
      </c>
      <c r="AJ20" s="323">
        <f>AJ19*3600/$N$24</f>
        <v>0.93719932558694097</v>
      </c>
      <c r="AK20" s="12"/>
      <c r="AL20" s="409"/>
      <c r="AM20" s="12"/>
      <c r="AN20" s="207">
        <f>AN19+1</f>
        <v>15</v>
      </c>
      <c r="AO20" s="208"/>
      <c r="AP20" s="206" t="s">
        <v>223</v>
      </c>
      <c r="AQ20" s="7"/>
      <c r="AR20" s="210"/>
      <c r="AS20" s="326">
        <v>8347158.8556000106</v>
      </c>
      <c r="AT20" s="327">
        <v>0.81397546749984451</v>
      </c>
      <c r="AU20" s="328"/>
      <c r="AV20" s="326">
        <v>7285795.8646500036</v>
      </c>
      <c r="AW20" s="327">
        <v>0.67512429859622292</v>
      </c>
      <c r="AX20" s="316">
        <f t="shared" si="82"/>
        <v>-0.17058397267193814</v>
      </c>
      <c r="AY20" s="328"/>
      <c r="AZ20" s="326">
        <v>9252422.5520105362</v>
      </c>
      <c r="BA20" s="327">
        <v>0.71716600089519644</v>
      </c>
      <c r="BB20" s="316">
        <f t="shared" si="83"/>
        <v>6.2272536163178183E-2</v>
      </c>
      <c r="BC20" s="328"/>
      <c r="BD20" s="326">
        <v>10915527.954034619</v>
      </c>
      <c r="BE20" s="327">
        <v>0.74224448966694945</v>
      </c>
      <c r="BF20" s="316">
        <f t="shared" si="84"/>
        <v>3.4968875742086292E-2</v>
      </c>
      <c r="BG20" s="328"/>
      <c r="BH20" s="326">
        <v>3838414.9907733351</v>
      </c>
      <c r="BI20" s="327">
        <v>0.25258689065096962</v>
      </c>
      <c r="BJ20" s="316">
        <f t="shared" si="85"/>
        <v>-0.65969853038005422</v>
      </c>
      <c r="BK20" s="328"/>
      <c r="BL20" s="326">
        <v>5658223.4029922634</v>
      </c>
      <c r="BM20" s="327">
        <v>0.33637236438364621</v>
      </c>
      <c r="BN20" s="316">
        <f t="shared" si="86"/>
        <v>0.33170951000958038</v>
      </c>
      <c r="BO20" s="328"/>
      <c r="BP20" s="326">
        <v>8558427.9676000625</v>
      </c>
      <c r="BQ20" s="327">
        <v>0.46142281150297859</v>
      </c>
      <c r="BR20" s="316">
        <f t="shared" si="87"/>
        <v>0.37176195300249848</v>
      </c>
      <c r="BS20" s="328"/>
      <c r="BT20" s="29">
        <v>12790093</v>
      </c>
      <c r="BU20" s="29">
        <v>0.65</v>
      </c>
      <c r="BV20" s="29">
        <f t="shared" si="88"/>
        <v>0.40868631501501773</v>
      </c>
      <c r="BW20" s="329">
        <v>16992816.141500026</v>
      </c>
      <c r="BX20" s="330">
        <v>0.87785804171546822</v>
      </c>
      <c r="BY20" s="331">
        <f t="shared" si="60"/>
        <v>0.35055083340841264</v>
      </c>
      <c r="BZ20" s="331">
        <v>13569776.854138836</v>
      </c>
      <c r="CA20" s="331">
        <v>0.66521868747413349</v>
      </c>
      <c r="CB20" s="331">
        <f t="shared" si="61"/>
        <v>-0.24222521653478857</v>
      </c>
      <c r="CC20" s="331">
        <v>5345041.1556581259</v>
      </c>
      <c r="CD20" s="331">
        <v>0.25717234263122563</v>
      </c>
      <c r="CE20" s="332">
        <f t="shared" si="98"/>
        <v>-0.61340180684381995</v>
      </c>
      <c r="CF20" s="313">
        <v>7158976.8429704905</v>
      </c>
      <c r="CG20" s="331">
        <v>0.3440865991769031</v>
      </c>
      <c r="CH20" s="332">
        <f t="shared" si="89"/>
        <v>0.33796113398674787</v>
      </c>
      <c r="CI20" s="313">
        <f t="shared" si="104"/>
        <v>13006834.970299989</v>
      </c>
      <c r="CJ20" s="331">
        <f t="shared" si="104"/>
        <v>0.61904063421904543</v>
      </c>
      <c r="CK20" s="332">
        <f t="shared" si="91"/>
        <v>0.79908382279305767</v>
      </c>
      <c r="CL20" s="333">
        <f>CI20/AS20-1</f>
        <v>0.55823498693496854</v>
      </c>
      <c r="CM20" s="332">
        <f t="shared" si="92"/>
        <v>2.3619560715614885E-2</v>
      </c>
      <c r="CN20" s="12"/>
      <c r="CO20" s="13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3"/>
      <c r="DC20" s="12"/>
      <c r="DD20" s="378"/>
      <c r="DE20" s="379"/>
      <c r="DF20" s="380"/>
      <c r="DG20" s="12"/>
      <c r="DH20" s="380"/>
      <c r="DI20" s="12"/>
      <c r="DJ20" s="12"/>
      <c r="DK20" s="12"/>
      <c r="DL20" s="13"/>
      <c r="DM20" s="12"/>
      <c r="DN20" s="12"/>
      <c r="DO20" s="12"/>
      <c r="DP20" s="12"/>
      <c r="DQ20" s="12"/>
      <c r="DR20" s="12"/>
      <c r="DS20" s="16"/>
      <c r="DT20" s="12"/>
      <c r="DU20" s="12"/>
      <c r="DV20" s="12"/>
      <c r="DW20" s="12"/>
      <c r="DX20" s="12"/>
      <c r="DY20" s="13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3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346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346"/>
      <c r="FP20" s="12"/>
      <c r="FQ20" s="433">
        <f t="shared" si="78"/>
        <v>15</v>
      </c>
      <c r="FR20" s="448"/>
      <c r="FS20" s="449" t="s">
        <v>224</v>
      </c>
      <c r="FT20" s="450">
        <f>SUM(FT7:FT19)</f>
        <v>1522773.9925000002</v>
      </c>
      <c r="FU20" s="450">
        <f>SUM(FU7:FU19)</f>
        <v>2368315.69</v>
      </c>
      <c r="FV20" s="450">
        <f>SUM(FV7:FV19)</f>
        <v>4341995.7367999991</v>
      </c>
      <c r="FW20" s="451">
        <f t="shared" si="22"/>
        <v>8233085.4192999993</v>
      </c>
      <c r="FX20" s="450">
        <v>1526755.7016333332</v>
      </c>
      <c r="FY20" s="450">
        <v>2232821.3000000003</v>
      </c>
      <c r="FZ20" s="450">
        <v>4321695.6834666664</v>
      </c>
      <c r="GA20" s="450">
        <v>8081272.6850999994</v>
      </c>
      <c r="GB20" s="450">
        <v>8081272.6850999994</v>
      </c>
      <c r="GC20" s="16"/>
      <c r="GD20" s="346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3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3"/>
      <c r="HE20" s="12"/>
      <c r="HF20" s="12"/>
      <c r="HG20" s="207">
        <v>15</v>
      </c>
      <c r="HH20" s="231">
        <v>15</v>
      </c>
      <c r="HI20" s="231">
        <v>10</v>
      </c>
      <c r="HJ20" s="231">
        <v>10</v>
      </c>
      <c r="HK20" s="232">
        <v>149862493</v>
      </c>
      <c r="HL20" s="232">
        <v>148919549</v>
      </c>
      <c r="HM20" s="234">
        <f t="shared" si="1"/>
        <v>1</v>
      </c>
      <c r="HN20" s="234">
        <f t="shared" si="2"/>
        <v>0.99370793865013307</v>
      </c>
      <c r="HO20" s="235">
        <v>0</v>
      </c>
      <c r="HP20" s="235">
        <v>0.8</v>
      </c>
      <c r="HQ20" s="235">
        <v>0.2</v>
      </c>
      <c r="HR20" s="12"/>
      <c r="HS20" s="13"/>
      <c r="HT20" s="12"/>
      <c r="HU20" s="348">
        <v>15</v>
      </c>
      <c r="HV20" s="242">
        <v>15</v>
      </c>
      <c r="HW20" s="238">
        <f t="shared" si="3"/>
        <v>0.99370793865013307</v>
      </c>
      <c r="HX20" s="214">
        <v>31875</v>
      </c>
      <c r="HY20" s="215">
        <f>HW20*HX20</f>
        <v>31674.440544472993</v>
      </c>
      <c r="HZ20" s="214">
        <v>16537856</v>
      </c>
      <c r="IA20" s="215">
        <v>17642711</v>
      </c>
      <c r="IB20" s="214">
        <v>8167552.2430999996</v>
      </c>
      <c r="IC20" s="215">
        <v>8353758</v>
      </c>
      <c r="ID20" s="214">
        <v>225000</v>
      </c>
      <c r="IE20" s="214">
        <v>225000</v>
      </c>
      <c r="IF20" s="214">
        <f t="shared" si="24"/>
        <v>8424427.2430999987</v>
      </c>
      <c r="IG20" s="214">
        <f t="shared" si="24"/>
        <v>8610432.440544473</v>
      </c>
      <c r="IH20" s="239"/>
      <c r="II20" s="240"/>
      <c r="IJ20" s="239"/>
      <c r="IK20" s="241">
        <v>15</v>
      </c>
      <c r="IL20" s="242">
        <v>15</v>
      </c>
      <c r="IM20" s="243">
        <f t="shared" si="4"/>
        <v>1</v>
      </c>
      <c r="IN20" s="244">
        <f t="shared" si="4"/>
        <v>0.99370793865013307</v>
      </c>
      <c r="IO20" s="214">
        <v>2534428.7467203247</v>
      </c>
      <c r="IP20" s="215">
        <f t="shared" si="63"/>
        <v>2518481.9655590942</v>
      </c>
      <c r="IQ20" s="214">
        <v>132408.67583748506</v>
      </c>
      <c r="IR20" s="215">
        <f t="shared" si="25"/>
        <v>131575.55232586098</v>
      </c>
      <c r="IS20" s="214">
        <v>1363012.8647796751</v>
      </c>
      <c r="IT20" s="215">
        <f t="shared" si="26"/>
        <v>1363012.8647796751</v>
      </c>
      <c r="IU20" s="214">
        <v>1701488.4</v>
      </c>
      <c r="IV20" s="215">
        <v>1701488.4</v>
      </c>
      <c r="IW20" s="214">
        <v>195983.68037978921</v>
      </c>
      <c r="IX20" s="215">
        <f t="shared" si="27"/>
        <v>194750.53903926685</v>
      </c>
      <c r="IY20" s="214">
        <v>50565.859999999971</v>
      </c>
      <c r="IZ20" s="215">
        <f t="shared" si="28"/>
        <v>50247.696506671193</v>
      </c>
      <c r="JA20" s="214">
        <v>310100.05</v>
      </c>
      <c r="JB20" s="215">
        <f t="shared" si="29"/>
        <v>308148.88146080321</v>
      </c>
      <c r="JC20" s="214">
        <v>1081175.8240373386</v>
      </c>
      <c r="JD20" s="215">
        <f t="shared" si="30"/>
        <v>1074372.9994225027</v>
      </c>
      <c r="JE20" s="214">
        <f t="shared" si="31"/>
        <v>7369164.1017546123</v>
      </c>
      <c r="JF20" s="214">
        <f t="shared" si="31"/>
        <v>7342078.8990938757</v>
      </c>
      <c r="JG20" s="245">
        <f t="shared" si="5"/>
        <v>4.9302317582857276</v>
      </c>
      <c r="JH20" s="12"/>
      <c r="JI20" s="13"/>
      <c r="JJ20" s="12"/>
      <c r="JK20" s="207">
        <v>15</v>
      </c>
      <c r="JL20" s="231">
        <v>15</v>
      </c>
      <c r="JM20" s="29">
        <f t="shared" si="6"/>
        <v>10</v>
      </c>
      <c r="JN20" s="324">
        <f t="shared" si="32"/>
        <v>10</v>
      </c>
      <c r="JO20" s="213">
        <f t="shared" si="7"/>
        <v>148919549</v>
      </c>
      <c r="JP20" s="213">
        <f t="shared" si="8"/>
        <v>153194831.21150362</v>
      </c>
      <c r="JQ20" s="247">
        <f t="shared" si="33"/>
        <v>1</v>
      </c>
      <c r="JR20" s="247">
        <f t="shared" si="34"/>
        <v>1.0287086701525239</v>
      </c>
      <c r="JS20" s="247">
        <f t="shared" si="35"/>
        <v>1.0471505470592863</v>
      </c>
      <c r="JT20" s="231" t="s">
        <v>241</v>
      </c>
      <c r="JU20" s="248"/>
      <c r="JV20" s="249"/>
      <c r="JW20" s="248"/>
      <c r="JX20" s="207">
        <v>15</v>
      </c>
      <c r="JY20" s="231">
        <v>15</v>
      </c>
      <c r="JZ20" s="250" t="str">
        <f t="shared" si="9"/>
        <v>Q3</v>
      </c>
      <c r="KA20" s="251">
        <f t="shared" si="10"/>
        <v>1.0471505470592863</v>
      </c>
      <c r="KB20" s="214">
        <f t="shared" si="36"/>
        <v>31674.440544472993</v>
      </c>
      <c r="KC20" s="214">
        <f t="shared" si="37"/>
        <v>33167.907743941731</v>
      </c>
      <c r="KD20" s="214">
        <f t="shared" si="11"/>
        <v>17642711</v>
      </c>
      <c r="KE20" s="214">
        <f t="shared" si="38"/>
        <v>16880656.735057183</v>
      </c>
      <c r="KF20" s="214">
        <f t="shared" si="12"/>
        <v>8353758</v>
      </c>
      <c r="KG20" s="214">
        <f t="shared" si="13"/>
        <v>8643921.1106188465</v>
      </c>
      <c r="KH20" s="214">
        <f t="shared" si="39"/>
        <v>225000</v>
      </c>
      <c r="KI20" s="214">
        <f t="shared" si="40"/>
        <v>325259.71016432275</v>
      </c>
      <c r="KJ20" s="214">
        <f t="shared" si="41"/>
        <v>8610432.440544473</v>
      </c>
      <c r="KK20" s="214">
        <f t="shared" si="41"/>
        <v>9002348.7285271119</v>
      </c>
      <c r="KL20" s="252"/>
      <c r="KM20" s="249"/>
      <c r="KN20" s="248"/>
      <c r="KO20" s="295">
        <f t="shared" si="64"/>
        <v>15</v>
      </c>
      <c r="KP20" s="296">
        <v>14</v>
      </c>
      <c r="KQ20" s="349">
        <f t="shared" si="65"/>
        <v>1</v>
      </c>
      <c r="KR20" s="349">
        <f t="shared" si="65"/>
        <v>1.0287086701525239</v>
      </c>
      <c r="KS20" s="301">
        <v>1.69933333</v>
      </c>
      <c r="KT20" s="270">
        <f t="shared" si="66"/>
        <v>3876475.0289462754</v>
      </c>
      <c r="KU20" s="301">
        <v>1.69933333</v>
      </c>
      <c r="KV20" s="270">
        <f t="shared" si="42"/>
        <v>169404.07919731113</v>
      </c>
      <c r="KW20" s="301">
        <v>1.69933333</v>
      </c>
      <c r="KX20" s="270">
        <f t="shared" si="43"/>
        <v>1625440.5183171816</v>
      </c>
      <c r="KY20" s="301">
        <v>1.7150382799999999</v>
      </c>
      <c r="KZ20" s="270">
        <f t="shared" si="67"/>
        <v>1914639.0691961886</v>
      </c>
      <c r="LA20" s="301">
        <v>1.69933333</v>
      </c>
      <c r="LB20" s="270">
        <f t="shared" si="44"/>
        <v>103201.83479229725</v>
      </c>
      <c r="LC20" s="301">
        <v>1.69933333</v>
      </c>
      <c r="LD20" s="270">
        <f t="shared" si="45"/>
        <v>70246.845531106403</v>
      </c>
      <c r="LE20" s="301">
        <v>1.69933333</v>
      </c>
      <c r="LF20" s="270">
        <f t="shared" si="46"/>
        <v>469139.8378541054</v>
      </c>
      <c r="LG20" s="301">
        <v>1.69933333</v>
      </c>
      <c r="LH20" s="270">
        <f t="shared" si="47"/>
        <v>900559.44166213414</v>
      </c>
      <c r="LI20" s="273">
        <f t="shared" si="48"/>
        <v>8711380.166727772</v>
      </c>
      <c r="LJ20" s="273">
        <f t="shared" si="68"/>
        <v>9129106.6554965992</v>
      </c>
      <c r="LK20" s="16"/>
      <c r="LL20" s="261"/>
      <c r="LM20" s="12"/>
      <c r="LN20" s="207">
        <v>15</v>
      </c>
      <c r="LO20" s="262">
        <v>15</v>
      </c>
      <c r="LP20" s="214">
        <f t="shared" si="14"/>
        <v>8424427.2430999987</v>
      </c>
      <c r="LQ20" s="214">
        <f t="shared" si="14"/>
        <v>8610432.440544473</v>
      </c>
      <c r="LR20" s="215">
        <f t="shared" si="15"/>
        <v>9002348.7285271119</v>
      </c>
      <c r="LS20" s="214">
        <f t="shared" si="16"/>
        <v>7369164.1017546123</v>
      </c>
      <c r="LT20" s="214">
        <f t="shared" si="16"/>
        <v>7342078.8990938757</v>
      </c>
      <c r="LU20" s="215">
        <f t="shared" si="49"/>
        <v>7688261.9357385943</v>
      </c>
      <c r="LV20" s="214">
        <f t="shared" si="50"/>
        <v>1055263.1413453864</v>
      </c>
      <c r="LW20" s="214">
        <f t="shared" si="50"/>
        <v>1268353.5414505973</v>
      </c>
      <c r="LX20" s="214">
        <f t="shared" si="50"/>
        <v>1314086.7927885177</v>
      </c>
      <c r="LY20" s="12"/>
      <c r="LZ20" s="13"/>
      <c r="MA20" s="12"/>
      <c r="MB20" s="12"/>
      <c r="MC20" s="12"/>
      <c r="MD20" s="12"/>
      <c r="ME20" s="12"/>
      <c r="MF20" s="13"/>
      <c r="MG20" s="12"/>
      <c r="MH20" s="386">
        <f t="shared" si="79"/>
        <v>14</v>
      </c>
      <c r="MI20" s="357" t="s">
        <v>54</v>
      </c>
      <c r="MJ20" s="417">
        <f t="shared" si="99"/>
        <v>14890404.546644907</v>
      </c>
      <c r="MK20" s="418">
        <f t="shared" si="100"/>
        <v>0.66580699948768585</v>
      </c>
      <c r="ML20" s="393"/>
      <c r="MM20" s="419">
        <f t="shared" si="101"/>
        <v>14890404.546644907</v>
      </c>
      <c r="MN20" s="418">
        <f t="shared" si="102"/>
        <v>0.66580699948768585</v>
      </c>
      <c r="MO20" s="12"/>
      <c r="MP20" s="13"/>
      <c r="MQ20" s="12"/>
      <c r="MR20" s="386">
        <f t="shared" si="80"/>
        <v>14</v>
      </c>
      <c r="MS20" s="357" t="str">
        <f t="shared" si="53"/>
        <v>Overhead</v>
      </c>
      <c r="MT20" s="420">
        <v>13175615.227110483</v>
      </c>
      <c r="MU20" s="417">
        <f t="shared" si="103"/>
        <v>14890404.546644907</v>
      </c>
      <c r="MV20" s="417">
        <f t="shared" si="70"/>
        <v>1714789.3195344247</v>
      </c>
      <c r="MW20" s="421">
        <f t="shared" si="71"/>
        <v>0.13014870956507824</v>
      </c>
      <c r="MX20" s="12"/>
      <c r="MY20" s="13"/>
      <c r="MZ20" s="12"/>
    </row>
    <row r="21" spans="1:364" ht="17.25" thickBot="1" x14ac:dyDescent="0.35">
      <c r="A21" s="5"/>
      <c r="B21" s="152">
        <f t="shared" si="72"/>
        <v>16</v>
      </c>
      <c r="C21" s="422" t="s">
        <v>225</v>
      </c>
      <c r="D21" s="422"/>
      <c r="E21" s="423"/>
      <c r="F21" s="452">
        <f>SUM(F14:F20)</f>
        <v>109563607.96460003</v>
      </c>
      <c r="G21" s="453">
        <f t="shared" si="94"/>
        <v>5.2145141778614077</v>
      </c>
      <c r="H21" s="452">
        <f>SUM(H14:H20)</f>
        <v>109119134.31555125</v>
      </c>
      <c r="I21" s="454">
        <f t="shared" si="95"/>
        <v>5.1707370147139633</v>
      </c>
      <c r="J21" s="455">
        <f t="shared" si="54"/>
        <v>-444473.64904877543</v>
      </c>
      <c r="K21" s="452">
        <f>SUM(K14:K20)</f>
        <v>113124036.01026669</v>
      </c>
      <c r="L21" s="454">
        <f t="shared" si="96"/>
        <v>5.2034232253786463</v>
      </c>
      <c r="M21" s="455">
        <f t="shared" si="55"/>
        <v>4004901.6947154403</v>
      </c>
      <c r="N21" s="452">
        <f>SUM(N14:N20)</f>
        <v>118468525.20066084</v>
      </c>
      <c r="O21" s="454">
        <f t="shared" si="97"/>
        <v>5.2971813526285842</v>
      </c>
      <c r="P21" s="455">
        <f t="shared" si="56"/>
        <v>5344489.1903941482</v>
      </c>
      <c r="Q21" s="452">
        <f t="shared" si="57"/>
        <v>8904917.2360608131</v>
      </c>
      <c r="R21" s="456">
        <f t="shared" si="58"/>
        <v>1.5853284111901678E-2</v>
      </c>
      <c r="V21" s="200"/>
      <c r="W21" s="201" t="s">
        <v>27</v>
      </c>
      <c r="X21" s="354"/>
      <c r="Y21" s="355"/>
      <c r="Z21" s="355"/>
      <c r="AA21" s="355"/>
      <c r="AB21" s="204"/>
      <c r="AC21" s="279"/>
      <c r="AF21" s="457">
        <f t="shared" si="73"/>
        <v>15</v>
      </c>
      <c r="AG21" s="458" t="s">
        <v>189</v>
      </c>
      <c r="AH21" s="459">
        <f>KT27/AH19</f>
        <v>21.853941699813209</v>
      </c>
      <c r="AI21" s="459">
        <f>KV27/AI19</f>
        <v>17.077716506692475</v>
      </c>
      <c r="AJ21" s="459">
        <f>KX27/AJ19</f>
        <v>31.83387390953699</v>
      </c>
      <c r="AL21" s="409"/>
      <c r="AN21" s="868" t="s">
        <v>226</v>
      </c>
      <c r="AO21" s="868"/>
      <c r="AP21" s="868"/>
      <c r="AQ21" s="868"/>
      <c r="AR21" s="868"/>
      <c r="AS21" s="868"/>
      <c r="AT21" s="868"/>
      <c r="AU21" s="868"/>
      <c r="AV21" s="868"/>
      <c r="AW21" s="868"/>
      <c r="AX21" s="868"/>
      <c r="AY21" s="868"/>
      <c r="AZ21" s="868"/>
      <c r="BA21" s="868"/>
      <c r="BB21" s="868"/>
      <c r="BC21" s="868"/>
      <c r="BD21" s="868"/>
      <c r="BE21" s="868"/>
      <c r="BF21" s="868"/>
      <c r="BG21" s="868"/>
      <c r="BH21" s="868"/>
      <c r="BI21" s="868"/>
      <c r="BJ21" s="868"/>
      <c r="BK21" s="868"/>
      <c r="BL21" s="868"/>
      <c r="BM21" s="868"/>
      <c r="BN21" s="868"/>
      <c r="BO21" s="868"/>
      <c r="BP21" s="868"/>
      <c r="BQ21" s="868"/>
      <c r="BR21" s="868"/>
      <c r="BS21" s="868"/>
      <c r="BT21" s="869"/>
      <c r="BU21" s="869"/>
      <c r="BV21" s="869"/>
      <c r="BW21" s="869"/>
      <c r="BX21" s="869"/>
      <c r="BY21" s="869"/>
      <c r="BZ21" s="869"/>
      <c r="CA21" s="869"/>
      <c r="CB21" s="869"/>
      <c r="CC21" s="869"/>
      <c r="CD21" s="869"/>
      <c r="CE21" s="869"/>
      <c r="CF21" s="869"/>
      <c r="CG21" s="869"/>
      <c r="CH21" s="869"/>
      <c r="CI21" s="869"/>
      <c r="CJ21" s="869"/>
      <c r="CK21" s="869"/>
      <c r="CL21" s="868"/>
      <c r="CM21" s="868"/>
      <c r="DD21" s="378"/>
      <c r="DE21" s="15"/>
      <c r="DF21" s="461"/>
      <c r="DG21" s="12"/>
      <c r="DH21" s="461"/>
      <c r="EB21" s="12"/>
      <c r="EC21" s="12"/>
      <c r="ED21" s="12"/>
      <c r="EE21" s="12"/>
      <c r="EF21" s="12"/>
      <c r="EY21" s="346"/>
      <c r="FO21" s="346"/>
      <c r="FQ21" s="264">
        <f t="shared" si="78"/>
        <v>16</v>
      </c>
      <c r="FR21" s="15" t="s">
        <v>227</v>
      </c>
      <c r="FS21" s="423"/>
      <c r="FT21" s="462"/>
      <c r="FU21" s="462"/>
      <c r="FV21" s="462"/>
      <c r="FW21" s="463"/>
      <c r="FX21" s="462"/>
      <c r="FY21" s="462"/>
      <c r="FZ21" s="462"/>
      <c r="GA21" s="462"/>
      <c r="GB21" s="462"/>
      <c r="GC21" s="16"/>
      <c r="GD21" s="346"/>
      <c r="HG21" s="264">
        <v>16</v>
      </c>
      <c r="HH21" s="248">
        <v>16</v>
      </c>
      <c r="HI21" s="248">
        <v>11</v>
      </c>
      <c r="HJ21" s="248">
        <v>11</v>
      </c>
      <c r="HK21" s="275">
        <v>178945785</v>
      </c>
      <c r="HL21" s="275">
        <v>178996940</v>
      </c>
      <c r="HM21" s="269">
        <f t="shared" si="1"/>
        <v>1</v>
      </c>
      <c r="HN21" s="269">
        <f t="shared" si="2"/>
        <v>1.0002858687059883</v>
      </c>
      <c r="HO21" s="271">
        <v>0</v>
      </c>
      <c r="HP21" s="271">
        <v>0</v>
      </c>
      <c r="HQ21" s="271">
        <v>1</v>
      </c>
      <c r="HU21" s="295">
        <v>16</v>
      </c>
      <c r="HV21" s="296">
        <v>16</v>
      </c>
      <c r="HW21" s="297">
        <f t="shared" si="3"/>
        <v>1.0002858687059883</v>
      </c>
      <c r="HX21" s="273">
        <v>8176.04</v>
      </c>
      <c r="HY21" s="270">
        <f t="shared" si="23"/>
        <v>8178.3772739749093</v>
      </c>
      <c r="HZ21" s="273">
        <v>19799913</v>
      </c>
      <c r="IA21" s="270">
        <v>21515917</v>
      </c>
      <c r="IB21" s="273">
        <v>10090671.818500001</v>
      </c>
      <c r="IC21" s="270">
        <v>10250106</v>
      </c>
      <c r="ID21" s="273">
        <v>247500</v>
      </c>
      <c r="IE21" s="273">
        <v>247500</v>
      </c>
      <c r="IF21" s="273">
        <f t="shared" si="24"/>
        <v>10346347.8585</v>
      </c>
      <c r="IG21" s="273">
        <f t="shared" si="24"/>
        <v>10505784.377273975</v>
      </c>
      <c r="IH21" s="239"/>
      <c r="II21" s="240"/>
      <c r="IJ21" s="239"/>
      <c r="IK21" s="298">
        <v>16</v>
      </c>
      <c r="IL21" s="296">
        <v>16</v>
      </c>
      <c r="IM21" s="299">
        <f t="shared" si="4"/>
        <v>1</v>
      </c>
      <c r="IN21" s="300">
        <f t="shared" si="4"/>
        <v>1.0002858687059883</v>
      </c>
      <c r="IO21" s="273">
        <v>3198283.3880275963</v>
      </c>
      <c r="IP21" s="270">
        <f t="shared" si="63"/>
        <v>3199197.6771611157</v>
      </c>
      <c r="IQ21" s="273">
        <v>360108.67538906122</v>
      </c>
      <c r="IR21" s="270">
        <f t="shared" si="25"/>
        <v>360211.61919010984</v>
      </c>
      <c r="IS21" s="273">
        <v>1345592.0560724037</v>
      </c>
      <c r="IT21" s="270">
        <f t="shared" si="26"/>
        <v>1345592.0560724037</v>
      </c>
      <c r="IU21" s="273">
        <v>2067133.7</v>
      </c>
      <c r="IV21" s="270">
        <v>2067133.7</v>
      </c>
      <c r="IW21" s="273">
        <v>234481.59968582238</v>
      </c>
      <c r="IX21" s="270">
        <f t="shared" si="27"/>
        <v>234548.63063730265</v>
      </c>
      <c r="IY21" s="273">
        <v>105150.33208333336</v>
      </c>
      <c r="IZ21" s="270">
        <f t="shared" si="28"/>
        <v>105180.39127270026</v>
      </c>
      <c r="JA21" s="273">
        <v>862841.99</v>
      </c>
      <c r="JB21" s="270">
        <f t="shared" si="29"/>
        <v>863088.64952315367</v>
      </c>
      <c r="JC21" s="273">
        <v>1187550.9854283016</v>
      </c>
      <c r="JD21" s="270">
        <f t="shared" si="30"/>
        <v>1187890.4690918012</v>
      </c>
      <c r="JE21" s="273">
        <f t="shared" si="31"/>
        <v>9361142.7266865186</v>
      </c>
      <c r="JF21" s="273">
        <f t="shared" si="31"/>
        <v>9362843.1929485872</v>
      </c>
      <c r="JG21" s="301">
        <f t="shared" si="5"/>
        <v>5.2307280744288631</v>
      </c>
      <c r="JK21" s="264">
        <v>16</v>
      </c>
      <c r="JL21" s="248">
        <v>16</v>
      </c>
      <c r="JM21" s="12">
        <f t="shared" si="6"/>
        <v>11</v>
      </c>
      <c r="JN21" s="18">
        <f t="shared" si="32"/>
        <v>11</v>
      </c>
      <c r="JO21" s="302">
        <f t="shared" si="7"/>
        <v>178996940</v>
      </c>
      <c r="JP21" s="302">
        <f t="shared" si="8"/>
        <v>184135704.10877112</v>
      </c>
      <c r="JQ21" s="303">
        <f t="shared" si="33"/>
        <v>1</v>
      </c>
      <c r="JR21" s="303">
        <f t="shared" si="34"/>
        <v>1.0287086701525239</v>
      </c>
      <c r="JS21" s="303">
        <f t="shared" si="35"/>
        <v>1.0488213387887371</v>
      </c>
      <c r="JT21" s="248" t="s">
        <v>241</v>
      </c>
      <c r="JU21" s="248"/>
      <c r="JV21" s="249"/>
      <c r="JW21" s="248"/>
      <c r="JX21" s="264">
        <v>16</v>
      </c>
      <c r="JY21" s="248">
        <v>16</v>
      </c>
      <c r="JZ21" s="377" t="str">
        <f t="shared" si="9"/>
        <v>Q3</v>
      </c>
      <c r="KA21" s="305">
        <f t="shared" si="10"/>
        <v>1.0488213387887371</v>
      </c>
      <c r="KB21" s="289">
        <f t="shared" si="36"/>
        <v>8178.3772739749093</v>
      </c>
      <c r="KC21" s="289">
        <f t="shared" si="37"/>
        <v>8577.6566016097458</v>
      </c>
      <c r="KD21" s="289">
        <f t="shared" si="11"/>
        <v>21515917</v>
      </c>
      <c r="KE21" s="289">
        <f t="shared" si="38"/>
        <v>20290055.409485739</v>
      </c>
      <c r="KF21" s="289">
        <f t="shared" si="12"/>
        <v>10250106</v>
      </c>
      <c r="KG21" s="289">
        <f t="shared" si="13"/>
        <v>10389740.224113727</v>
      </c>
      <c r="KH21" s="289">
        <f t="shared" si="39"/>
        <v>247500</v>
      </c>
      <c r="KI21" s="289">
        <f t="shared" si="40"/>
        <v>390952.65340012999</v>
      </c>
      <c r="KJ21" s="289">
        <f t="shared" si="41"/>
        <v>10505784.377273975</v>
      </c>
      <c r="KK21" s="289">
        <f t="shared" si="41"/>
        <v>10789270.534115467</v>
      </c>
      <c r="KL21" s="252"/>
      <c r="KM21" s="249"/>
      <c r="KN21" s="248"/>
      <c r="KO21" s="306">
        <f t="shared" si="64"/>
        <v>16</v>
      </c>
      <c r="KP21" s="307">
        <v>15</v>
      </c>
      <c r="KQ21" s="308">
        <f t="shared" si="65"/>
        <v>1</v>
      </c>
      <c r="KR21" s="308">
        <f t="shared" si="65"/>
        <v>1.0287086701525239</v>
      </c>
      <c r="KS21" s="245">
        <v>1.69933333</v>
      </c>
      <c r="KT21" s="215">
        <f t="shared" si="66"/>
        <v>2673891.9826305625</v>
      </c>
      <c r="KU21" s="245">
        <v>1.69933333</v>
      </c>
      <c r="KV21" s="215">
        <f t="shared" si="42"/>
        <v>139694.79205550125</v>
      </c>
      <c r="KW21" s="245">
        <v>1.69933333</v>
      </c>
      <c r="KX21" s="215">
        <f t="shared" si="43"/>
        <v>1406735.8925917614</v>
      </c>
      <c r="KY21" s="245">
        <v>1.7150382799999999</v>
      </c>
      <c r="KZ21" s="215">
        <f t="shared" si="67"/>
        <v>1739988.4431611218</v>
      </c>
      <c r="LA21" s="245">
        <v>1.69933333</v>
      </c>
      <c r="LB21" s="215">
        <f t="shared" si="44"/>
        <v>206768.16910796228</v>
      </c>
      <c r="LC21" s="245">
        <v>1.69933333</v>
      </c>
      <c r="LD21" s="215">
        <f t="shared" si="45"/>
        <v>53348.372024182849</v>
      </c>
      <c r="LE21" s="245">
        <v>1.69933333</v>
      </c>
      <c r="LF21" s="215">
        <f t="shared" si="46"/>
        <v>327164.07536859281</v>
      </c>
      <c r="LG21" s="245">
        <v>1.69933333</v>
      </c>
      <c r="LH21" s="309">
        <f t="shared" si="47"/>
        <v>1140670.2087989093</v>
      </c>
      <c r="LI21" s="310">
        <f t="shared" si="48"/>
        <v>7342078.8990938757</v>
      </c>
      <c r="LJ21" s="310">
        <f t="shared" si="68"/>
        <v>7688261.9357385943</v>
      </c>
      <c r="LK21" s="16"/>
      <c r="LL21" s="261"/>
      <c r="LN21" s="264">
        <v>16</v>
      </c>
      <c r="LO21" s="311">
        <v>16</v>
      </c>
      <c r="LP21" s="273">
        <f t="shared" si="14"/>
        <v>10346347.8585</v>
      </c>
      <c r="LQ21" s="273">
        <f t="shared" si="14"/>
        <v>10505784.377273975</v>
      </c>
      <c r="LR21" s="270">
        <f t="shared" si="15"/>
        <v>10789270.534115467</v>
      </c>
      <c r="LS21" s="273">
        <f t="shared" si="16"/>
        <v>9361142.7266865186</v>
      </c>
      <c r="LT21" s="273">
        <f t="shared" si="16"/>
        <v>9362843.1929485872</v>
      </c>
      <c r="LU21" s="270">
        <f t="shared" si="49"/>
        <v>9819949.7324973512</v>
      </c>
      <c r="LV21" s="273">
        <f t="shared" si="50"/>
        <v>985205.13181348145</v>
      </c>
      <c r="LW21" s="273">
        <f t="shared" si="50"/>
        <v>1142941.1843253877</v>
      </c>
      <c r="LX21" s="273">
        <f t="shared" si="50"/>
        <v>969320.80161811598</v>
      </c>
      <c r="MH21" s="207">
        <f t="shared" si="79"/>
        <v>15</v>
      </c>
      <c r="MI21" s="209" t="s">
        <v>60</v>
      </c>
      <c r="MJ21" s="450">
        <f t="shared" si="99"/>
        <v>118468525.20066084</v>
      </c>
      <c r="MK21" s="465">
        <f t="shared" si="100"/>
        <v>5.2971813526285842</v>
      </c>
      <c r="ML21" s="209"/>
      <c r="MM21" s="466">
        <f>SUM(MM14:MM20)</f>
        <v>118468525.20066084</v>
      </c>
      <c r="MN21" s="465">
        <f t="shared" si="102"/>
        <v>5.2971813526285842</v>
      </c>
      <c r="MR21" s="207">
        <f t="shared" si="80"/>
        <v>15</v>
      </c>
      <c r="MS21" s="209" t="str">
        <f t="shared" si="53"/>
        <v>Total Operating Expenses</v>
      </c>
      <c r="MT21" s="467">
        <v>109914198.36987257</v>
      </c>
      <c r="MU21" s="468">
        <f t="shared" si="103"/>
        <v>118468525.20066084</v>
      </c>
      <c r="MV21" s="468">
        <f t="shared" si="70"/>
        <v>8554326.8307882696</v>
      </c>
      <c r="MW21" s="469">
        <f t="shared" si="71"/>
        <v>7.7827314010898582E-2</v>
      </c>
    </row>
    <row r="22" spans="1:364" s="29" customFormat="1" x14ac:dyDescent="0.3">
      <c r="A22" s="7"/>
      <c r="B22" s="190">
        <f t="shared" si="72"/>
        <v>17</v>
      </c>
      <c r="C22" s="209" t="s">
        <v>223</v>
      </c>
      <c r="D22" s="209"/>
      <c r="E22" s="222"/>
      <c r="F22" s="466">
        <f>F12-F21</f>
        <v>13006834.970299989</v>
      </c>
      <c r="G22" s="470">
        <f t="shared" si="94"/>
        <v>0.61904063421904543</v>
      </c>
      <c r="H22" s="466">
        <f>H12-H21</f>
        <v>11713824.64135541</v>
      </c>
      <c r="I22" s="471">
        <f t="shared" si="95"/>
        <v>0.55507319625328855</v>
      </c>
      <c r="J22" s="451">
        <f t="shared" si="54"/>
        <v>-1293010.3289445788</v>
      </c>
      <c r="K22" s="466">
        <f>K12-K21</f>
        <v>9793014.8133588433</v>
      </c>
      <c r="L22" s="471">
        <f t="shared" si="96"/>
        <v>0.45045423168674659</v>
      </c>
      <c r="M22" s="451">
        <f t="shared" si="55"/>
        <v>-1920809.8279965669</v>
      </c>
      <c r="N22" s="466">
        <f>N12-N21</f>
        <v>12784123.511599064</v>
      </c>
      <c r="O22" s="471">
        <f t="shared" si="97"/>
        <v>0.57162710990653454</v>
      </c>
      <c r="P22" s="451">
        <f t="shared" si="56"/>
        <v>2991108.6982402205</v>
      </c>
      <c r="Q22" s="466">
        <f t="shared" si="57"/>
        <v>-222711.45870092511</v>
      </c>
      <c r="R22" s="472">
        <f t="shared" si="58"/>
        <v>-7.6591941936615671E-2</v>
      </c>
      <c r="S22" s="12"/>
      <c r="T22" s="13"/>
      <c r="U22" s="12"/>
      <c r="V22" s="473">
        <v>11</v>
      </c>
      <c r="W22" s="474" t="s">
        <v>228</v>
      </c>
      <c r="X22" s="273">
        <f>X18-X7</f>
        <v>-1046277.2461556679</v>
      </c>
      <c r="Y22" s="273">
        <f>Y18-Y7</f>
        <v>-124608.5533139063</v>
      </c>
      <c r="Z22" s="273">
        <f>Z18-Z7</f>
        <v>948174.34076868743</v>
      </c>
      <c r="AA22" s="273">
        <f>AA18-AA7</f>
        <v>-222711.458700886</v>
      </c>
      <c r="AB22" s="273"/>
      <c r="AC22" s="12"/>
      <c r="AD22" s="13"/>
      <c r="AE22" s="12"/>
      <c r="AF22" s="12"/>
      <c r="AG22" s="12"/>
      <c r="AH22" s="12"/>
      <c r="AI22" s="12"/>
      <c r="AJ22" s="12"/>
      <c r="AK22" s="12"/>
      <c r="AL22" s="409"/>
      <c r="AM22" s="12"/>
      <c r="AN22" s="264">
        <v>18</v>
      </c>
      <c r="AO22" s="2"/>
      <c r="AP22" s="446" t="s">
        <v>229</v>
      </c>
      <c r="AQ22" s="5"/>
      <c r="AR22" s="283"/>
      <c r="AS22" s="475"/>
      <c r="AT22" s="277">
        <v>1025480397</v>
      </c>
      <c r="AU22" s="279"/>
      <c r="AV22" s="475"/>
      <c r="AW22" s="277">
        <v>1079178438.6666701</v>
      </c>
      <c r="AX22" s="279"/>
      <c r="AY22" s="278"/>
      <c r="AZ22" s="475"/>
      <c r="BA22" s="277">
        <v>1290136807.9999998</v>
      </c>
      <c r="BB22" s="279"/>
      <c r="BC22" s="278"/>
      <c r="BD22" s="475"/>
      <c r="BE22" s="277">
        <v>1470610844</v>
      </c>
      <c r="BF22" s="279"/>
      <c r="BG22" s="278"/>
      <c r="BH22" s="475"/>
      <c r="BI22" s="277">
        <v>1519641411.6666667</v>
      </c>
      <c r="BJ22" s="279"/>
      <c r="BK22" s="278"/>
      <c r="BL22" s="475"/>
      <c r="BM22" s="277">
        <v>1682130877</v>
      </c>
      <c r="BN22" s="279"/>
      <c r="BO22" s="278"/>
      <c r="BP22" s="475"/>
      <c r="BQ22" s="277">
        <v>1854790824</v>
      </c>
      <c r="BR22" s="279"/>
      <c r="BS22" s="278"/>
      <c r="BT22" s="870">
        <v>1962055288</v>
      </c>
      <c r="BU22" s="870"/>
      <c r="BV22" s="870"/>
      <c r="BW22" s="476"/>
      <c r="BX22" s="12"/>
      <c r="BY22" s="12"/>
      <c r="BZ22" s="477"/>
      <c r="CA22" s="283"/>
      <c r="CB22" s="12"/>
      <c r="CC22" s="478">
        <v>2078388796</v>
      </c>
      <c r="CD22" s="282"/>
      <c r="CE22" s="283"/>
      <c r="CF22" s="478">
        <v>2080574152</v>
      </c>
      <c r="CG22" s="282"/>
      <c r="CH22" s="283"/>
      <c r="CI22" s="478">
        <f>F24</f>
        <v>2101127818</v>
      </c>
      <c r="CJ22" s="283"/>
      <c r="CK22" s="283"/>
      <c r="CL22" s="477">
        <f>CI22/AT22-1</f>
        <v>1.048920509984161</v>
      </c>
      <c r="CM22" s="283">
        <f>(CL22+1)^(1/(2023-2004))-1</f>
        <v>3.8475029929317062E-2</v>
      </c>
      <c r="CN22" s="12"/>
      <c r="CO22" s="13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3"/>
      <c r="DC22" s="12"/>
      <c r="DD22" s="12"/>
      <c r="DE22" s="12"/>
      <c r="DF22" s="275"/>
      <c r="DG22" s="16"/>
      <c r="DH22" s="275"/>
      <c r="DI22" s="16"/>
      <c r="DJ22" s="16"/>
      <c r="DK22" s="12"/>
      <c r="DL22" s="13"/>
      <c r="DM22" s="12"/>
      <c r="DN22" s="12"/>
      <c r="DO22" s="12"/>
      <c r="DP22" s="12"/>
      <c r="DQ22" s="12"/>
      <c r="DR22" s="12"/>
      <c r="DS22" s="16"/>
      <c r="DT22" s="12"/>
      <c r="DU22" s="12"/>
      <c r="DV22" s="12"/>
      <c r="DW22" s="12"/>
      <c r="DX22" s="12"/>
      <c r="DY22" s="13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3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20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20"/>
      <c r="FP22" s="12"/>
      <c r="FQ22" s="207">
        <f>FQ21+1</f>
        <v>17</v>
      </c>
      <c r="FR22" s="431"/>
      <c r="FS22" s="479" t="s">
        <v>230</v>
      </c>
      <c r="FT22" s="480">
        <v>3063.8159999999998</v>
      </c>
      <c r="FU22" s="480">
        <v>15847</v>
      </c>
      <c r="FV22" s="480">
        <v>17866</v>
      </c>
      <c r="FW22" s="481">
        <f>FT22+FV22+FU22</f>
        <v>36776.815999999999</v>
      </c>
      <c r="FX22" s="480">
        <v>0</v>
      </c>
      <c r="FY22" s="480">
        <v>0</v>
      </c>
      <c r="FZ22" s="480">
        <v>0</v>
      </c>
      <c r="GA22" s="480">
        <v>0</v>
      </c>
      <c r="GB22" s="480">
        <v>0</v>
      </c>
      <c r="GC22" s="16"/>
      <c r="GD22" s="346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3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3"/>
      <c r="HE22" s="12"/>
      <c r="HF22" s="12"/>
      <c r="HG22" s="207">
        <v>17</v>
      </c>
      <c r="HH22" s="231">
        <v>17</v>
      </c>
      <c r="HI22" s="231">
        <v>10</v>
      </c>
      <c r="HJ22" s="231">
        <v>11</v>
      </c>
      <c r="HK22" s="232">
        <v>184207782</v>
      </c>
      <c r="HL22" s="232">
        <v>203326997</v>
      </c>
      <c r="HM22" s="234">
        <f t="shared" si="1"/>
        <v>1.1000000000000001</v>
      </c>
      <c r="HN22" s="234">
        <f t="shared" si="2"/>
        <v>1.1037915705428776</v>
      </c>
      <c r="HO22" s="235">
        <v>0</v>
      </c>
      <c r="HP22" s="235">
        <v>0</v>
      </c>
      <c r="HQ22" s="235">
        <v>1</v>
      </c>
      <c r="HR22" s="12"/>
      <c r="HS22" s="13"/>
      <c r="HT22" s="12"/>
      <c r="HU22" s="348">
        <v>17</v>
      </c>
      <c r="HV22" s="242">
        <v>17</v>
      </c>
      <c r="HW22" s="238">
        <f t="shared" si="3"/>
        <v>1.1037915705428776</v>
      </c>
      <c r="HX22" s="214">
        <v>1330</v>
      </c>
      <c r="HY22" s="215">
        <f t="shared" si="23"/>
        <v>1468.0427888220272</v>
      </c>
      <c r="HZ22" s="214">
        <v>20370675</v>
      </c>
      <c r="IA22" s="215">
        <v>22508140</v>
      </c>
      <c r="IB22" s="214">
        <v>9964845.7438999992</v>
      </c>
      <c r="IC22" s="215">
        <v>10719729</v>
      </c>
      <c r="ID22" s="214">
        <v>225000</v>
      </c>
      <c r="IE22" s="214">
        <v>247500</v>
      </c>
      <c r="IF22" s="214">
        <f t="shared" si="24"/>
        <v>10191175.743899999</v>
      </c>
      <c r="IG22" s="214">
        <f t="shared" si="24"/>
        <v>10968697.042788822</v>
      </c>
      <c r="IH22" s="239"/>
      <c r="II22" s="240"/>
      <c r="IJ22" s="239"/>
      <c r="IK22" s="241">
        <v>17</v>
      </c>
      <c r="IL22" s="242">
        <v>17</v>
      </c>
      <c r="IM22" s="243">
        <f t="shared" si="4"/>
        <v>1.1000000000000001</v>
      </c>
      <c r="IN22" s="244">
        <f t="shared" si="4"/>
        <v>1.1037915705428776</v>
      </c>
      <c r="IO22" s="214">
        <v>3636742.7574714241</v>
      </c>
      <c r="IP22" s="215">
        <f t="shared" si="63"/>
        <v>4014205.9999298183</v>
      </c>
      <c r="IQ22" s="214">
        <v>99210.114966398338</v>
      </c>
      <c r="IR22" s="215">
        <f t="shared" si="25"/>
        <v>109507.28861250027</v>
      </c>
      <c r="IS22" s="214">
        <v>1326502.3215285756</v>
      </c>
      <c r="IT22" s="215">
        <f t="shared" si="26"/>
        <v>1459152.5536814332</v>
      </c>
      <c r="IU22" s="214">
        <v>2379136.65</v>
      </c>
      <c r="IV22" s="215">
        <v>2836236.65</v>
      </c>
      <c r="IW22" s="214">
        <v>69656.884132477629</v>
      </c>
      <c r="IX22" s="215">
        <f t="shared" si="27"/>
        <v>76886.681535710726</v>
      </c>
      <c r="IY22" s="214">
        <v>78739.909999999974</v>
      </c>
      <c r="IZ22" s="215">
        <f t="shared" si="28"/>
        <v>86912.448923304808</v>
      </c>
      <c r="JA22" s="214">
        <v>615372.95500000007</v>
      </c>
      <c r="JB22" s="215">
        <f t="shared" si="29"/>
        <v>679243.48046906164</v>
      </c>
      <c r="JC22" s="214">
        <v>1381431.3565149382</v>
      </c>
      <c r="JD22" s="215">
        <f t="shared" si="30"/>
        <v>1524812.2866048014</v>
      </c>
      <c r="JE22" s="214">
        <f t="shared" si="31"/>
        <v>9586792.9496138133</v>
      </c>
      <c r="JF22" s="214">
        <f t="shared" si="31"/>
        <v>10786957.389756631</v>
      </c>
      <c r="JG22" s="245">
        <f t="shared" si="5"/>
        <v>5.305226334384229</v>
      </c>
      <c r="JH22" s="12"/>
      <c r="JI22" s="13"/>
      <c r="JJ22" s="12"/>
      <c r="JK22" s="207">
        <v>17</v>
      </c>
      <c r="JL22" s="231">
        <v>17</v>
      </c>
      <c r="JM22" s="29">
        <f t="shared" si="6"/>
        <v>11</v>
      </c>
      <c r="JN22" s="324">
        <f t="shared" si="32"/>
        <v>11</v>
      </c>
      <c r="JO22" s="213">
        <f t="shared" si="7"/>
        <v>203326997</v>
      </c>
      <c r="JP22" s="213">
        <f t="shared" si="8"/>
        <v>209164244.68997622</v>
      </c>
      <c r="JQ22" s="247">
        <f t="shared" si="33"/>
        <v>1</v>
      </c>
      <c r="JR22" s="247">
        <f t="shared" si="34"/>
        <v>1.0287086701525239</v>
      </c>
      <c r="JS22" s="247">
        <f t="shared" si="35"/>
        <v>1.0471189782780779</v>
      </c>
      <c r="JT22" s="231" t="s">
        <v>403</v>
      </c>
      <c r="JU22" s="248"/>
      <c r="JV22" s="249"/>
      <c r="JW22" s="248"/>
      <c r="JX22" s="207">
        <v>17</v>
      </c>
      <c r="JY22" s="231">
        <v>17</v>
      </c>
      <c r="JZ22" s="250" t="str">
        <f t="shared" si="9"/>
        <v>Q4</v>
      </c>
      <c r="KA22" s="251">
        <f t="shared" si="10"/>
        <v>1.0471189782780779</v>
      </c>
      <c r="KB22" s="214">
        <f t="shared" si="36"/>
        <v>1468.0427888220272</v>
      </c>
      <c r="KC22" s="214">
        <f t="shared" si="37"/>
        <v>1537.2154650998211</v>
      </c>
      <c r="KD22" s="214">
        <f t="shared" si="11"/>
        <v>22508140</v>
      </c>
      <c r="KE22" s="214">
        <f t="shared" si="38"/>
        <v>23047969.621013302</v>
      </c>
      <c r="KF22" s="214">
        <f t="shared" si="12"/>
        <v>10719729</v>
      </c>
      <c r="KG22" s="214">
        <f t="shared" si="13"/>
        <v>11801959.73953047</v>
      </c>
      <c r="KH22" s="214">
        <f t="shared" si="39"/>
        <v>247500</v>
      </c>
      <c r="KI22" s="214">
        <f t="shared" si="40"/>
        <v>444092.6698804475</v>
      </c>
      <c r="KJ22" s="214">
        <f t="shared" si="41"/>
        <v>10968697.042788822</v>
      </c>
      <c r="KK22" s="214">
        <f t="shared" si="41"/>
        <v>12247589.624876019</v>
      </c>
      <c r="KL22" s="252"/>
      <c r="KM22" s="249"/>
      <c r="KN22" s="248"/>
      <c r="KO22" s="295">
        <f t="shared" si="64"/>
        <v>17</v>
      </c>
      <c r="KP22" s="296">
        <v>16</v>
      </c>
      <c r="KQ22" s="349">
        <f t="shared" si="65"/>
        <v>1</v>
      </c>
      <c r="KR22" s="349">
        <f t="shared" si="65"/>
        <v>1.0287086701525239</v>
      </c>
      <c r="KS22" s="301">
        <v>1.69933333</v>
      </c>
      <c r="KT22" s="270">
        <f t="shared" si="66"/>
        <v>3396613.1728532743</v>
      </c>
      <c r="KU22" s="301">
        <v>1.69933333</v>
      </c>
      <c r="KV22" s="270">
        <f t="shared" si="42"/>
        <v>382439.4908418525</v>
      </c>
      <c r="KW22" s="301">
        <v>1.69933333</v>
      </c>
      <c r="KX22" s="270">
        <f t="shared" si="43"/>
        <v>1388756.2553339314</v>
      </c>
      <c r="KY22" s="301">
        <v>1.7150382799999999</v>
      </c>
      <c r="KZ22" s="270">
        <f t="shared" si="67"/>
        <v>2113907.2993203416</v>
      </c>
      <c r="LA22" s="301">
        <v>1.69933333</v>
      </c>
      <c r="LB22" s="270">
        <f t="shared" si="44"/>
        <v>249022.11394586414</v>
      </c>
      <c r="LC22" s="301">
        <v>1.69933333</v>
      </c>
      <c r="LD22" s="270">
        <f t="shared" si="45"/>
        <v>111670.84330960625</v>
      </c>
      <c r="LE22" s="301">
        <v>1.69933333</v>
      </c>
      <c r="LF22" s="270">
        <f t="shared" si="46"/>
        <v>916347.96350311569</v>
      </c>
      <c r="LG22" s="301">
        <v>1.69933333</v>
      </c>
      <c r="LH22" s="270">
        <f t="shared" si="47"/>
        <v>1261192.5933893672</v>
      </c>
      <c r="LI22" s="273">
        <f t="shared" si="48"/>
        <v>9362843.1929485872</v>
      </c>
      <c r="LJ22" s="273">
        <f t="shared" si="68"/>
        <v>9819949.7324973512</v>
      </c>
      <c r="LK22" s="16"/>
      <c r="LL22" s="261"/>
      <c r="LM22" s="12"/>
      <c r="LN22" s="207">
        <v>17</v>
      </c>
      <c r="LO22" s="262">
        <v>17</v>
      </c>
      <c r="LP22" s="214">
        <f t="shared" si="14"/>
        <v>10191175.743899999</v>
      </c>
      <c r="LQ22" s="214">
        <f t="shared" si="14"/>
        <v>10968697.042788822</v>
      </c>
      <c r="LR22" s="215">
        <f t="shared" si="15"/>
        <v>12247589.624876019</v>
      </c>
      <c r="LS22" s="214">
        <f t="shared" si="16"/>
        <v>9586792.9496138133</v>
      </c>
      <c r="LT22" s="214">
        <f t="shared" si="16"/>
        <v>10786957.389756631</v>
      </c>
      <c r="LU22" s="215">
        <f t="shared" si="49"/>
        <v>11295227.800691126</v>
      </c>
      <c r="LV22" s="214">
        <f t="shared" si="50"/>
        <v>604382.79428618588</v>
      </c>
      <c r="LW22" s="214">
        <f t="shared" si="50"/>
        <v>181739.6530321911</v>
      </c>
      <c r="LX22" s="214">
        <f t="shared" si="50"/>
        <v>952361.8241848927</v>
      </c>
      <c r="LY22" s="12"/>
      <c r="LZ22" s="13"/>
      <c r="MA22" s="12"/>
      <c r="MB22" s="12"/>
      <c r="MC22" s="12"/>
      <c r="MD22" s="12"/>
      <c r="ME22" s="12"/>
      <c r="MF22" s="13"/>
      <c r="MG22" s="12"/>
      <c r="MH22" s="264">
        <f t="shared" si="79"/>
        <v>16</v>
      </c>
      <c r="MI22" s="18"/>
      <c r="MJ22" s="273"/>
      <c r="MK22" s="352"/>
      <c r="ML22" s="12"/>
      <c r="MM22" s="267"/>
      <c r="MN22" s="352"/>
      <c r="MO22" s="12"/>
      <c r="MP22" s="13"/>
      <c r="MQ22" s="12"/>
      <c r="MR22" s="264">
        <f t="shared" si="80"/>
        <v>16</v>
      </c>
      <c r="MS22" s="18"/>
      <c r="MT22" s="273"/>
      <c r="MU22" s="273"/>
      <c r="MV22" s="273"/>
      <c r="MW22" s="283"/>
      <c r="MX22" s="12"/>
      <c r="MY22" s="13"/>
      <c r="MZ22" s="12"/>
    </row>
    <row r="23" spans="1:364" ht="17.25" thickBot="1" x14ac:dyDescent="0.35">
      <c r="A23" s="5"/>
      <c r="B23" s="460" t="s">
        <v>231</v>
      </c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V23" s="483">
        <v>12</v>
      </c>
      <c r="W23" s="484" t="s">
        <v>232</v>
      </c>
      <c r="X23" s="485">
        <f>X19/X8-1</f>
        <v>1.7526426835890945</v>
      </c>
      <c r="Y23" s="485">
        <f>Y19/Y8-1</f>
        <v>-9.4532805630811456E-2</v>
      </c>
      <c r="Z23" s="485">
        <f>Z19/Z8-1</f>
        <v>2.7618628646923993E-2</v>
      </c>
      <c r="AA23" s="485">
        <f>AA19/AA8-1</f>
        <v>-7.6591941936612784E-2</v>
      </c>
      <c r="AB23" s="271"/>
      <c r="AL23" s="409"/>
      <c r="AN23" s="412">
        <v>19</v>
      </c>
      <c r="AO23" s="486"/>
      <c r="AP23" s="487" t="s">
        <v>233</v>
      </c>
      <c r="AQ23" s="488"/>
      <c r="AR23" s="489"/>
      <c r="AS23" s="490"/>
      <c r="AT23" s="491">
        <v>158</v>
      </c>
      <c r="AU23" s="492"/>
      <c r="AV23" s="490"/>
      <c r="AW23" s="491">
        <v>165</v>
      </c>
      <c r="AX23" s="492"/>
      <c r="AY23" s="493"/>
      <c r="AZ23" s="490"/>
      <c r="BA23" s="491">
        <v>184</v>
      </c>
      <c r="BB23" s="492"/>
      <c r="BC23" s="493"/>
      <c r="BD23" s="490"/>
      <c r="BE23" s="491">
        <v>190</v>
      </c>
      <c r="BF23" s="492"/>
      <c r="BG23" s="493"/>
      <c r="BH23" s="490"/>
      <c r="BI23" s="491">
        <v>191</v>
      </c>
      <c r="BJ23" s="492"/>
      <c r="BK23" s="493"/>
      <c r="BL23" s="490"/>
      <c r="BM23" s="491">
        <v>195</v>
      </c>
      <c r="BN23" s="492"/>
      <c r="BO23" s="493"/>
      <c r="BP23" s="490"/>
      <c r="BQ23" s="491">
        <v>189</v>
      </c>
      <c r="BR23" s="492"/>
      <c r="BS23" s="493"/>
      <c r="BT23" s="871">
        <v>179</v>
      </c>
      <c r="BU23" s="871"/>
      <c r="BV23" s="871"/>
      <c r="BW23" s="495"/>
      <c r="BX23" s="494"/>
      <c r="BY23" s="494"/>
      <c r="BZ23" s="496"/>
      <c r="CA23" s="497"/>
      <c r="CB23" s="29"/>
      <c r="CC23" s="498">
        <v>205</v>
      </c>
      <c r="CD23" s="497"/>
      <c r="CE23" s="489"/>
      <c r="CF23" s="498">
        <v>202</v>
      </c>
      <c r="CG23" s="497"/>
      <c r="CH23" s="489"/>
      <c r="CI23" s="498">
        <f>F25</f>
        <v>209</v>
      </c>
      <c r="CJ23" s="489"/>
      <c r="CK23" s="489"/>
      <c r="CL23" s="496">
        <f>CI23/AT23-1</f>
        <v>0.32278481012658222</v>
      </c>
      <c r="CM23" s="489">
        <f>(CL23+1)^(1/(2023-2004))-1</f>
        <v>1.4832035755902417E-2</v>
      </c>
      <c r="DG23" s="12"/>
      <c r="EB23" s="12"/>
      <c r="EC23" s="12"/>
      <c r="ED23" s="12"/>
      <c r="EE23" s="12"/>
      <c r="EF23" s="12"/>
      <c r="EY23" s="499"/>
      <c r="FO23" s="499"/>
      <c r="FQ23" s="264">
        <f t="shared" si="78"/>
        <v>18</v>
      </c>
      <c r="FR23" s="292"/>
      <c r="FS23" s="293" t="s">
        <v>234</v>
      </c>
      <c r="FT23" s="273">
        <v>166766.054</v>
      </c>
      <c r="FU23" s="273">
        <v>383995.19209999999</v>
      </c>
      <c r="FV23" s="273">
        <v>611171.57960000006</v>
      </c>
      <c r="FW23" s="270">
        <f>FT23+FV23+FU23</f>
        <v>1161932.8256999999</v>
      </c>
      <c r="FX23" s="273">
        <v>175901.33659999998</v>
      </c>
      <c r="FY23" s="273">
        <v>383995.19209999999</v>
      </c>
      <c r="FZ23" s="273">
        <v>613403.0634000001</v>
      </c>
      <c r="GA23" s="273">
        <v>1173299.5921</v>
      </c>
      <c r="GB23" s="273">
        <v>1173299.5921</v>
      </c>
      <c r="GC23" s="16"/>
      <c r="GD23" s="346"/>
      <c r="HG23" s="264">
        <v>18</v>
      </c>
      <c r="HH23" s="248">
        <v>18</v>
      </c>
      <c r="HI23" s="248">
        <v>11</v>
      </c>
      <c r="HJ23" s="248">
        <v>11</v>
      </c>
      <c r="HK23" s="275">
        <v>243885005</v>
      </c>
      <c r="HL23" s="275">
        <v>242954972</v>
      </c>
      <c r="HM23" s="269">
        <f t="shared" si="1"/>
        <v>1</v>
      </c>
      <c r="HN23" s="269">
        <f t="shared" si="2"/>
        <v>0.99618659211951144</v>
      </c>
      <c r="HO23" s="271">
        <v>0</v>
      </c>
      <c r="HP23" s="271">
        <v>0</v>
      </c>
      <c r="HQ23" s="271">
        <v>1</v>
      </c>
      <c r="HU23" s="295">
        <v>18</v>
      </c>
      <c r="HV23" s="296">
        <v>18</v>
      </c>
      <c r="HW23" s="297">
        <f t="shared" si="3"/>
        <v>0.99618659211951144</v>
      </c>
      <c r="HX23" s="273">
        <v>1230</v>
      </c>
      <c r="HY23" s="270">
        <f t="shared" si="23"/>
        <v>1225.3095083069991</v>
      </c>
      <c r="HZ23" s="273">
        <v>28517295.333333332</v>
      </c>
      <c r="IA23" s="270">
        <v>27262857</v>
      </c>
      <c r="IB23" s="273">
        <v>14765898.358866666</v>
      </c>
      <c r="IC23" s="270">
        <v>12990500</v>
      </c>
      <c r="ID23" s="273">
        <v>247500</v>
      </c>
      <c r="IE23" s="273">
        <v>247500</v>
      </c>
      <c r="IF23" s="273">
        <f t="shared" si="24"/>
        <v>15014628.358866666</v>
      </c>
      <c r="IG23" s="273">
        <f t="shared" si="24"/>
        <v>13239225.309508307</v>
      </c>
      <c r="IH23" s="239"/>
      <c r="II23" s="240"/>
      <c r="IJ23" s="239"/>
      <c r="IK23" s="298">
        <v>18</v>
      </c>
      <c r="IL23" s="296">
        <v>18</v>
      </c>
      <c r="IM23" s="299">
        <f t="shared" si="4"/>
        <v>1</v>
      </c>
      <c r="IN23" s="300">
        <f t="shared" si="4"/>
        <v>0.99618659211951144</v>
      </c>
      <c r="IO23" s="273">
        <v>5138374.3684435766</v>
      </c>
      <c r="IP23" s="270">
        <f t="shared" si="63"/>
        <v>5118779.6511340532</v>
      </c>
      <c r="IQ23" s="273">
        <v>177197.51560447406</v>
      </c>
      <c r="IR23" s="270">
        <f t="shared" si="25"/>
        <v>176521.78920206497</v>
      </c>
      <c r="IS23" s="273">
        <v>1615297.6175564234</v>
      </c>
      <c r="IT23" s="270">
        <f t="shared" si="26"/>
        <v>1615297.6175564234</v>
      </c>
      <c r="IU23" s="273">
        <v>2929342.7</v>
      </c>
      <c r="IV23" s="270">
        <v>2612204.9</v>
      </c>
      <c r="IW23" s="273">
        <v>318566.21675160661</v>
      </c>
      <c r="IX23" s="270">
        <f t="shared" si="27"/>
        <v>317351.39383018861</v>
      </c>
      <c r="IY23" s="273">
        <v>125854.06999999993</v>
      </c>
      <c r="IZ23" s="270">
        <f t="shared" si="28"/>
        <v>125374.13709767038</v>
      </c>
      <c r="JA23" s="273">
        <v>1327886.8600000001</v>
      </c>
      <c r="JB23" s="270">
        <f t="shared" si="29"/>
        <v>1322823.0857836788</v>
      </c>
      <c r="JC23" s="273">
        <v>1403791.8667082402</v>
      </c>
      <c r="JD23" s="270">
        <f t="shared" si="30"/>
        <v>1398438.6357411693</v>
      </c>
      <c r="JE23" s="273">
        <f t="shared" si="31"/>
        <v>13036311.215064321</v>
      </c>
      <c r="JF23" s="273">
        <f t="shared" si="31"/>
        <v>12686791.21034525</v>
      </c>
      <c r="JG23" s="301">
        <f t="shared" si="5"/>
        <v>5.2218693471913182</v>
      </c>
      <c r="JK23" s="264">
        <v>18</v>
      </c>
      <c r="JL23" s="248">
        <v>18</v>
      </c>
      <c r="JM23" s="12">
        <f t="shared" si="6"/>
        <v>11</v>
      </c>
      <c r="JN23" s="18">
        <f t="shared" si="32"/>
        <v>11</v>
      </c>
      <c r="JO23" s="302">
        <f t="shared" si="7"/>
        <v>242954972</v>
      </c>
      <c r="JP23" s="302">
        <f t="shared" si="8"/>
        <v>249929886.15306368</v>
      </c>
      <c r="JQ23" s="303">
        <f t="shared" si="33"/>
        <v>1</v>
      </c>
      <c r="JR23" s="303">
        <f t="shared" si="34"/>
        <v>1.0287086701525239</v>
      </c>
      <c r="JS23" s="303">
        <f t="shared" si="35"/>
        <v>1.0498886717864513</v>
      </c>
      <c r="JT23" s="248" t="s">
        <v>241</v>
      </c>
      <c r="JU23" s="248"/>
      <c r="JV23" s="249"/>
      <c r="JW23" s="248"/>
      <c r="JX23" s="264">
        <v>18</v>
      </c>
      <c r="JY23" s="248">
        <v>18</v>
      </c>
      <c r="JZ23" s="377" t="str">
        <f t="shared" si="9"/>
        <v>Q3</v>
      </c>
      <c r="KA23" s="305">
        <f t="shared" si="10"/>
        <v>1.0498886717864513</v>
      </c>
      <c r="KB23" s="289">
        <f t="shared" si="36"/>
        <v>1225.3095083069991</v>
      </c>
      <c r="KC23" s="289">
        <f t="shared" si="37"/>
        <v>1286.438572203745</v>
      </c>
      <c r="KD23" s="289">
        <f t="shared" si="11"/>
        <v>27262857</v>
      </c>
      <c r="KE23" s="289">
        <f t="shared" si="38"/>
        <v>27539967.129550129</v>
      </c>
      <c r="KF23" s="289">
        <f t="shared" si="12"/>
        <v>12990500</v>
      </c>
      <c r="KG23" s="289">
        <f t="shared" si="13"/>
        <v>14102135.183075333</v>
      </c>
      <c r="KH23" s="289">
        <f t="shared" si="39"/>
        <v>247500</v>
      </c>
      <c r="KI23" s="289">
        <f t="shared" si="40"/>
        <v>530645.33371438796</v>
      </c>
      <c r="KJ23" s="289">
        <f t="shared" si="41"/>
        <v>13239225.309508307</v>
      </c>
      <c r="KK23" s="289">
        <f t="shared" si="41"/>
        <v>14634066.955361925</v>
      </c>
      <c r="KL23" s="252"/>
      <c r="KM23" s="249"/>
      <c r="KN23" s="248"/>
      <c r="KO23" s="306">
        <f t="shared" si="64"/>
        <v>18</v>
      </c>
      <c r="KP23" s="307">
        <v>17</v>
      </c>
      <c r="KQ23" s="308">
        <f t="shared" si="65"/>
        <v>1</v>
      </c>
      <c r="KR23" s="308">
        <f t="shared" si="65"/>
        <v>1.0287086701525239</v>
      </c>
      <c r="KS23" s="245">
        <v>1.7</v>
      </c>
      <c r="KT23" s="215">
        <f t="shared" si="66"/>
        <v>4260242.5306020165</v>
      </c>
      <c r="KU23" s="245">
        <v>1.7</v>
      </c>
      <c r="KV23" s="215">
        <f t="shared" si="42"/>
        <v>116219.14978106254</v>
      </c>
      <c r="KW23" s="245">
        <v>1.7</v>
      </c>
      <c r="KX23" s="215">
        <f t="shared" si="43"/>
        <v>1505368.9963407111</v>
      </c>
      <c r="KY23" s="245">
        <v>1.7150382799999999</v>
      </c>
      <c r="KZ23" s="215">
        <f t="shared" si="67"/>
        <v>2900412.952018959</v>
      </c>
      <c r="LA23" s="245">
        <v>1.7</v>
      </c>
      <c r="LB23" s="215">
        <f t="shared" si="44"/>
        <v>81599.178198880254</v>
      </c>
      <c r="LC23" s="245">
        <v>1.7</v>
      </c>
      <c r="LD23" s="215">
        <f t="shared" si="45"/>
        <v>92239.439467808101</v>
      </c>
      <c r="LE23" s="245">
        <v>1.7</v>
      </c>
      <c r="LF23" s="215">
        <f t="shared" si="46"/>
        <v>720875.30240825412</v>
      </c>
      <c r="LG23" s="245">
        <v>1.7</v>
      </c>
      <c r="LH23" s="309">
        <f t="shared" si="47"/>
        <v>1618270.2518734362</v>
      </c>
      <c r="LI23" s="310">
        <f t="shared" si="48"/>
        <v>10786957.389756631</v>
      </c>
      <c r="LJ23" s="310">
        <f t="shared" si="68"/>
        <v>11295227.800691126</v>
      </c>
      <c r="LK23" s="16"/>
      <c r="LL23" s="261"/>
      <c r="LN23" s="264">
        <v>18</v>
      </c>
      <c r="LO23" s="311">
        <v>18</v>
      </c>
      <c r="LP23" s="273">
        <f t="shared" si="14"/>
        <v>15014628.358866666</v>
      </c>
      <c r="LQ23" s="273">
        <f t="shared" si="14"/>
        <v>13239225.309508307</v>
      </c>
      <c r="LR23" s="270">
        <f t="shared" si="15"/>
        <v>14634066.955361925</v>
      </c>
      <c r="LS23" s="273">
        <f t="shared" si="16"/>
        <v>13036311.215064321</v>
      </c>
      <c r="LT23" s="273">
        <f t="shared" si="16"/>
        <v>12686791.21034525</v>
      </c>
      <c r="LU23" s="270">
        <f t="shared" si="49"/>
        <v>13319718.3730614</v>
      </c>
      <c r="LV23" s="273">
        <f t="shared" si="50"/>
        <v>1978317.1438023448</v>
      </c>
      <c r="LW23" s="273">
        <f t="shared" si="50"/>
        <v>552434.09916305728</v>
      </c>
      <c r="LX23" s="273">
        <f t="shared" si="50"/>
        <v>1314348.5823005252</v>
      </c>
      <c r="MH23" s="207">
        <f>MH22+1</f>
        <v>17</v>
      </c>
      <c r="MI23" s="209" t="s">
        <v>235</v>
      </c>
      <c r="MJ23" s="450">
        <f>'Phase I Schedules'!MD13</f>
        <v>23002882.909465492</v>
      </c>
      <c r="MK23" s="465">
        <f>MJ23/$MJ$34*100</f>
        <v>1.0285469680518962</v>
      </c>
      <c r="ML23" s="209"/>
      <c r="MM23" s="500">
        <f>(MM8+MM21)/(1-'Phase I Schedules'!MD11)-(MM8+MM21)</f>
        <v>23002882.909465492</v>
      </c>
      <c r="MN23" s="465">
        <f>MM23/$MN$34*100</f>
        <v>1.0285469680518962</v>
      </c>
      <c r="MR23" s="207">
        <f>MR22+1</f>
        <v>17</v>
      </c>
      <c r="MS23" s="209" t="str">
        <f>MI23</f>
        <v>Total Return</v>
      </c>
      <c r="MT23" s="467">
        <v>20055229.941920698</v>
      </c>
      <c r="MU23" s="450">
        <f>MJ23</f>
        <v>23002882.909465492</v>
      </c>
      <c r="MV23" s="450">
        <f t="shared" si="70"/>
        <v>2947652.9675447941</v>
      </c>
      <c r="MW23" s="332">
        <f>MV23/MT23</f>
        <v>0.1469767724469429</v>
      </c>
    </row>
    <row r="24" spans="1:364" s="29" customFormat="1" x14ac:dyDescent="0.3">
      <c r="A24" s="7"/>
      <c r="B24" s="501">
        <f>B22+1</f>
        <v>18</v>
      </c>
      <c r="C24" s="502" t="s">
        <v>229</v>
      </c>
      <c r="D24" s="502"/>
      <c r="E24" s="503"/>
      <c r="F24" s="872">
        <f>GX6</f>
        <v>2101127818</v>
      </c>
      <c r="G24" s="873"/>
      <c r="H24" s="872">
        <f>HB6</f>
        <v>2110320714.5333333</v>
      </c>
      <c r="I24" s="874"/>
      <c r="J24" s="873"/>
      <c r="K24" s="872">
        <f>HL26</f>
        <v>2174031039</v>
      </c>
      <c r="L24" s="874"/>
      <c r="M24" s="873"/>
      <c r="N24" s="872">
        <f>JP26</f>
        <v>2236444579</v>
      </c>
      <c r="O24" s="874"/>
      <c r="P24" s="873"/>
      <c r="Q24" s="504">
        <f>N24-F24</f>
        <v>135316761</v>
      </c>
      <c r="R24" s="505">
        <f>N24/F24-1</f>
        <v>6.4401965382955062E-2</v>
      </c>
      <c r="S24" s="12"/>
      <c r="T24" s="13"/>
      <c r="U24" s="12"/>
      <c r="V24" s="12"/>
      <c r="W24" s="12"/>
      <c r="X24" s="12"/>
      <c r="Y24" s="12"/>
      <c r="Z24" s="12"/>
      <c r="AA24" s="12"/>
      <c r="AB24" s="12"/>
      <c r="AC24" s="12"/>
      <c r="AD24" s="13"/>
      <c r="AE24" s="12"/>
      <c r="AF24" s="12"/>
      <c r="AG24" s="12"/>
      <c r="AH24" s="12"/>
      <c r="AI24" s="12"/>
      <c r="AJ24" s="12"/>
      <c r="AK24" s="12"/>
      <c r="AL24" s="409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3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3"/>
      <c r="DC24" s="12"/>
      <c r="DD24" s="12"/>
      <c r="DE24" s="12"/>
      <c r="DF24" s="12"/>
      <c r="DG24" s="16"/>
      <c r="DH24" s="12"/>
      <c r="DI24" s="12"/>
      <c r="DJ24" s="12"/>
      <c r="DK24" s="12"/>
      <c r="DL24" s="13"/>
      <c r="DM24" s="12"/>
      <c r="DN24" s="12"/>
      <c r="DO24" s="12"/>
      <c r="DP24" s="12"/>
      <c r="DQ24" s="12"/>
      <c r="DR24" s="12"/>
      <c r="DS24" s="16"/>
      <c r="DT24" s="12"/>
      <c r="DU24" s="12"/>
      <c r="DV24" s="12"/>
      <c r="DW24" s="12"/>
      <c r="DX24" s="12"/>
      <c r="DY24" s="13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3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3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3"/>
      <c r="FP24" s="12"/>
      <c r="FQ24" s="207">
        <f t="shared" si="78"/>
        <v>19</v>
      </c>
      <c r="FR24" s="431"/>
      <c r="FS24" s="479" t="s">
        <v>236</v>
      </c>
      <c r="FT24" s="480">
        <v>13639.07</v>
      </c>
      <c r="FU24" s="480">
        <v>52122.48</v>
      </c>
      <c r="FV24" s="480">
        <v>52696.87</v>
      </c>
      <c r="FW24" s="481">
        <f>FT24+FV24+FU24</f>
        <v>118458.42000000001</v>
      </c>
      <c r="FX24" s="480">
        <v>63160.2304</v>
      </c>
      <c r="FY24" s="480">
        <v>148748.67900000006</v>
      </c>
      <c r="FZ24" s="480">
        <v>190715.47970000003</v>
      </c>
      <c r="GA24" s="480">
        <v>402624.38910000009</v>
      </c>
      <c r="GB24" s="480">
        <v>402624.38910000009</v>
      </c>
      <c r="GC24" s="16"/>
      <c r="GD24" s="346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3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3"/>
      <c r="HE24" s="12"/>
      <c r="HF24" s="12"/>
      <c r="HG24" s="207">
        <v>19</v>
      </c>
      <c r="HH24" s="231">
        <v>19</v>
      </c>
      <c r="HI24" s="231">
        <v>10</v>
      </c>
      <c r="HJ24" s="231">
        <v>10</v>
      </c>
      <c r="HK24" s="232">
        <v>253330428</v>
      </c>
      <c r="HL24" s="232">
        <v>252965039</v>
      </c>
      <c r="HM24" s="234">
        <f t="shared" si="1"/>
        <v>1</v>
      </c>
      <c r="HN24" s="234">
        <f t="shared" si="2"/>
        <v>0.99855765845861988</v>
      </c>
      <c r="HO24" s="235">
        <v>0</v>
      </c>
      <c r="HP24" s="235">
        <v>0</v>
      </c>
      <c r="HQ24" s="235">
        <v>1</v>
      </c>
      <c r="HR24" s="12"/>
      <c r="HS24" s="13"/>
      <c r="HT24" s="12"/>
      <c r="HU24" s="348">
        <v>19</v>
      </c>
      <c r="HV24" s="242">
        <v>19</v>
      </c>
      <c r="HW24" s="238">
        <f t="shared" si="3"/>
        <v>0.99855765845861988</v>
      </c>
      <c r="HX24" s="214">
        <v>2310.31</v>
      </c>
      <c r="HY24" s="215">
        <f t="shared" si="23"/>
        <v>2306.9777439135341</v>
      </c>
      <c r="HZ24" s="214">
        <v>28652340</v>
      </c>
      <c r="IA24" s="215">
        <v>28605951</v>
      </c>
      <c r="IB24" s="214">
        <v>14964699.7367</v>
      </c>
      <c r="IC24" s="215">
        <v>14006414</v>
      </c>
      <c r="ID24" s="214">
        <v>225000</v>
      </c>
      <c r="IE24" s="214">
        <v>225000</v>
      </c>
      <c r="IF24" s="214">
        <f t="shared" si="24"/>
        <v>15192010.046700001</v>
      </c>
      <c r="IG24" s="214">
        <f t="shared" si="24"/>
        <v>14233720.977743914</v>
      </c>
      <c r="IH24" s="239"/>
      <c r="II24" s="240"/>
      <c r="IJ24" s="239"/>
      <c r="IK24" s="241">
        <v>19</v>
      </c>
      <c r="IL24" s="242">
        <v>19</v>
      </c>
      <c r="IM24" s="243">
        <f t="shared" si="4"/>
        <v>1</v>
      </c>
      <c r="IN24" s="244">
        <f t="shared" si="4"/>
        <v>0.99855765845861988</v>
      </c>
      <c r="IO24" s="214">
        <v>4670742.6632672818</v>
      </c>
      <c r="IP24" s="215">
        <f t="shared" si="63"/>
        <v>4664005.8570949547</v>
      </c>
      <c r="IQ24" s="214">
        <v>104849.27111235814</v>
      </c>
      <c r="IR24" s="215">
        <f t="shared" si="25"/>
        <v>104698.04265304936</v>
      </c>
      <c r="IS24" s="214">
        <v>1568197.150832718</v>
      </c>
      <c r="IT24" s="215">
        <f t="shared" si="26"/>
        <v>1568197.150832718</v>
      </c>
      <c r="IU24" s="214">
        <v>2591102.7999999998</v>
      </c>
      <c r="IV24" s="215">
        <v>2591102.7999999998</v>
      </c>
      <c r="IW24" s="214">
        <v>152085.12857964082</v>
      </c>
      <c r="IX24" s="215">
        <f t="shared" si="27"/>
        <v>151865.76988086427</v>
      </c>
      <c r="IY24" s="214">
        <v>125054.47999999998</v>
      </c>
      <c r="IZ24" s="215">
        <f t="shared" si="28"/>
        <v>124874.1087285603</v>
      </c>
      <c r="JA24" s="214">
        <v>1069563.8900000001</v>
      </c>
      <c r="JB24" s="215">
        <f t="shared" si="29"/>
        <v>1068021.213570293</v>
      </c>
      <c r="JC24" s="214">
        <v>2172275.718000392</v>
      </c>
      <c r="JD24" s="215">
        <f t="shared" si="30"/>
        <v>2169142.5544929886</v>
      </c>
      <c r="JE24" s="214">
        <f t="shared" si="31"/>
        <v>12453871.101792391</v>
      </c>
      <c r="JF24" s="214">
        <f t="shared" si="31"/>
        <v>12441907.497253427</v>
      </c>
      <c r="JG24" s="245">
        <f t="shared" si="5"/>
        <v>4.9184296559072838</v>
      </c>
      <c r="JH24" s="12"/>
      <c r="JI24" s="13"/>
      <c r="JJ24" s="12"/>
      <c r="JK24" s="207">
        <v>19</v>
      </c>
      <c r="JL24" s="231">
        <v>19</v>
      </c>
      <c r="JM24" s="29">
        <f t="shared" si="6"/>
        <v>10</v>
      </c>
      <c r="JN24" s="324">
        <f t="shared" si="32"/>
        <v>10</v>
      </c>
      <c r="JO24" s="213">
        <f t="shared" si="7"/>
        <v>252965039</v>
      </c>
      <c r="JP24" s="213">
        <f t="shared" si="8"/>
        <v>260227328.86477134</v>
      </c>
      <c r="JQ24" s="247">
        <f t="shared" si="33"/>
        <v>1</v>
      </c>
      <c r="JR24" s="247">
        <f t="shared" si="34"/>
        <v>1.0287086701525239</v>
      </c>
      <c r="JS24" s="247">
        <f t="shared" si="35"/>
        <v>1.0498344946983473</v>
      </c>
      <c r="JT24" s="231" t="s">
        <v>241</v>
      </c>
      <c r="JU24" s="248"/>
      <c r="JV24" s="249"/>
      <c r="JW24" s="248"/>
      <c r="JX24" s="207">
        <v>19</v>
      </c>
      <c r="JY24" s="231">
        <v>19</v>
      </c>
      <c r="JZ24" s="250" t="str">
        <f t="shared" si="9"/>
        <v>Q3</v>
      </c>
      <c r="KA24" s="251">
        <f t="shared" si="10"/>
        <v>1.0498344946983473</v>
      </c>
      <c r="KB24" s="214">
        <f t="shared" si="36"/>
        <v>2306.9777439135341</v>
      </c>
      <c r="KC24" s="214">
        <f t="shared" si="37"/>
        <v>2421.9448140617983</v>
      </c>
      <c r="KD24" s="214">
        <f t="shared" si="11"/>
        <v>28605951</v>
      </c>
      <c r="KE24" s="214">
        <f t="shared" si="38"/>
        <v>28674650.29275205</v>
      </c>
      <c r="KF24" s="214">
        <f t="shared" si="12"/>
        <v>14006414</v>
      </c>
      <c r="KG24" s="214">
        <f t="shared" si="13"/>
        <v>14683161.851776896</v>
      </c>
      <c r="KH24" s="214">
        <f t="shared" si="39"/>
        <v>225000</v>
      </c>
      <c r="KI24" s="214">
        <f t="shared" si="40"/>
        <v>552508.62508888345</v>
      </c>
      <c r="KJ24" s="214">
        <f t="shared" si="41"/>
        <v>14233720.977743914</v>
      </c>
      <c r="KK24" s="214">
        <f t="shared" si="41"/>
        <v>15238092.421679841</v>
      </c>
      <c r="KL24" s="252"/>
      <c r="KM24" s="249"/>
      <c r="KN24" s="248"/>
      <c r="KO24" s="295">
        <f t="shared" si="64"/>
        <v>19</v>
      </c>
      <c r="KP24" s="296">
        <v>18</v>
      </c>
      <c r="KQ24" s="349">
        <f t="shared" si="65"/>
        <v>1</v>
      </c>
      <c r="KR24" s="349">
        <f t="shared" si="65"/>
        <v>1.0287086701525239</v>
      </c>
      <c r="KS24" s="301">
        <v>1.69933333</v>
      </c>
      <c r="KT24" s="270">
        <f t="shared" si="66"/>
        <v>5434648.3545222962</v>
      </c>
      <c r="KU24" s="301">
        <v>1.69933333</v>
      </c>
      <c r="KV24" s="270">
        <f t="shared" si="42"/>
        <v>187414.56296361503</v>
      </c>
      <c r="KW24" s="301">
        <v>1.69933333</v>
      </c>
      <c r="KX24" s="270">
        <f t="shared" si="43"/>
        <v>1667113.4914063246</v>
      </c>
      <c r="KY24" s="301">
        <v>1.7150382799999999</v>
      </c>
      <c r="KZ24" s="270">
        <f t="shared" si="67"/>
        <v>2671311.9743683552</v>
      </c>
      <c r="LA24" s="301">
        <v>1.69933333</v>
      </c>
      <c r="LB24" s="270">
        <f t="shared" si="44"/>
        <v>336934.45466098358</v>
      </c>
      <c r="LC24" s="301">
        <v>1.69933333</v>
      </c>
      <c r="LD24" s="270">
        <f t="shared" si="45"/>
        <v>133110.70104894094</v>
      </c>
      <c r="LE24" s="301">
        <v>1.69933333</v>
      </c>
      <c r="LF24" s="270">
        <f t="shared" si="46"/>
        <v>1404451.6069148737</v>
      </c>
      <c r="LG24" s="301">
        <v>1.69933333</v>
      </c>
      <c r="LH24" s="270">
        <f t="shared" si="47"/>
        <v>1484733.2271760097</v>
      </c>
      <c r="LI24" s="273">
        <f t="shared" si="48"/>
        <v>12686791.21034525</v>
      </c>
      <c r="LJ24" s="273">
        <f t="shared" si="68"/>
        <v>13319718.3730614</v>
      </c>
      <c r="LK24" s="16"/>
      <c r="LL24" s="261"/>
      <c r="LM24" s="12"/>
      <c r="LN24" s="207">
        <v>19</v>
      </c>
      <c r="LO24" s="262">
        <v>19</v>
      </c>
      <c r="LP24" s="214">
        <f t="shared" si="14"/>
        <v>15192010.046700001</v>
      </c>
      <c r="LQ24" s="214">
        <f t="shared" si="14"/>
        <v>14233720.977743914</v>
      </c>
      <c r="LR24" s="215">
        <f t="shared" si="15"/>
        <v>15238092.421679841</v>
      </c>
      <c r="LS24" s="214">
        <f t="shared" si="16"/>
        <v>12453871.101792391</v>
      </c>
      <c r="LT24" s="214">
        <f t="shared" si="16"/>
        <v>12441907.497253427</v>
      </c>
      <c r="LU24" s="215">
        <f t="shared" si="49"/>
        <v>13061943.670462631</v>
      </c>
      <c r="LV24" s="214">
        <f t="shared" si="50"/>
        <v>2738138.9449076094</v>
      </c>
      <c r="LW24" s="214">
        <f t="shared" si="50"/>
        <v>1791813.4804904871</v>
      </c>
      <c r="LX24" s="214">
        <f t="shared" si="50"/>
        <v>2176148.7512172107</v>
      </c>
      <c r="LY24" s="12"/>
      <c r="LZ24" s="13"/>
      <c r="MA24" s="12"/>
      <c r="MB24" s="12"/>
      <c r="MC24" s="12"/>
      <c r="MD24" s="12"/>
      <c r="ME24" s="12"/>
      <c r="MF24" s="13"/>
      <c r="MG24" s="12"/>
      <c r="MH24" s="386">
        <f t="shared" si="79"/>
        <v>18</v>
      </c>
      <c r="MI24" s="357" t="s">
        <v>237</v>
      </c>
      <c r="MJ24" s="506">
        <f>1-(MJ8+MJ21)/(MJ8+MJ21+MJ23)</f>
        <v>5.9300000000000019E-2</v>
      </c>
      <c r="MK24" s="418"/>
      <c r="ML24" s="393"/>
      <c r="MM24" s="507">
        <f>1-(MM8+MM21)/(MM8+MM21+MM23)</f>
        <v>5.9300000000000019E-2</v>
      </c>
      <c r="MN24" s="418"/>
      <c r="MO24" s="12"/>
      <c r="MP24" s="13"/>
      <c r="MQ24" s="12"/>
      <c r="MR24" s="386">
        <f t="shared" si="80"/>
        <v>18</v>
      </c>
      <c r="MS24" s="508" t="str">
        <f>MI24</f>
        <v>Pre-Tax Return</v>
      </c>
      <c r="MT24" s="509">
        <v>5.3900000000000059E-2</v>
      </c>
      <c r="MU24" s="510">
        <f>MJ24</f>
        <v>5.9300000000000019E-2</v>
      </c>
      <c r="MV24" s="510">
        <f t="shared" si="70"/>
        <v>5.3999999999999604E-3</v>
      </c>
      <c r="MW24" s="511">
        <f t="shared" si="71"/>
        <v>0.10018552875695648</v>
      </c>
      <c r="MX24" s="12"/>
      <c r="MY24" s="13"/>
      <c r="MZ24" s="12"/>
    </row>
    <row r="25" spans="1:364" ht="17.25" thickBot="1" x14ac:dyDescent="0.35">
      <c r="A25" s="5"/>
      <c r="B25" s="512">
        <f>B24+1</f>
        <v>19</v>
      </c>
      <c r="C25" s="513" t="s">
        <v>238</v>
      </c>
      <c r="D25" s="513"/>
      <c r="E25" s="514"/>
      <c r="F25" s="864">
        <f>HI26</f>
        <v>209</v>
      </c>
      <c r="G25" s="865"/>
      <c r="H25" s="864">
        <f>HI26</f>
        <v>209</v>
      </c>
      <c r="I25" s="866"/>
      <c r="J25" s="865"/>
      <c r="K25" s="864">
        <f>JM26</f>
        <v>221</v>
      </c>
      <c r="L25" s="866"/>
      <c r="M25" s="865"/>
      <c r="N25" s="864">
        <f>JN26</f>
        <v>220</v>
      </c>
      <c r="O25" s="866"/>
      <c r="P25" s="865"/>
      <c r="Q25" s="515">
        <f>N25-F25</f>
        <v>11</v>
      </c>
      <c r="R25" s="516">
        <f>N25/F25-1</f>
        <v>5.2631578947368363E-2</v>
      </c>
      <c r="AL25" s="409"/>
      <c r="EB25" s="12"/>
      <c r="EC25" s="12"/>
      <c r="ED25" s="12"/>
      <c r="EE25" s="12"/>
      <c r="EF25" s="12"/>
      <c r="FQ25" s="386">
        <f>FQ24+1</f>
        <v>20</v>
      </c>
      <c r="FR25" s="517"/>
      <c r="FS25" s="518" t="s">
        <v>224</v>
      </c>
      <c r="FT25" s="430">
        <f>SUM(FT22:FT24)</f>
        <v>183468.94</v>
      </c>
      <c r="FU25" s="430">
        <f>SUM(FU22:FU24)</f>
        <v>451964.67209999997</v>
      </c>
      <c r="FV25" s="430">
        <f>SUM(FV22:FV24)</f>
        <v>681734.44960000005</v>
      </c>
      <c r="FW25" s="455">
        <f>FT25+FV25+FU25</f>
        <v>1317168.0617</v>
      </c>
      <c r="FX25" s="430">
        <v>239061.56699999998</v>
      </c>
      <c r="FY25" s="430">
        <v>532743.87110000011</v>
      </c>
      <c r="FZ25" s="430">
        <v>804118.54310000013</v>
      </c>
      <c r="GA25" s="430">
        <v>1575923.9812</v>
      </c>
      <c r="GB25" s="430">
        <v>1575923.9812</v>
      </c>
      <c r="GC25" s="16"/>
      <c r="GD25" s="346"/>
      <c r="HG25" s="400">
        <v>20</v>
      </c>
      <c r="HH25" s="519">
        <v>20</v>
      </c>
      <c r="HI25" s="519">
        <v>11</v>
      </c>
      <c r="HJ25" s="519">
        <v>12</v>
      </c>
      <c r="HK25" s="520">
        <v>367539494</v>
      </c>
      <c r="HL25" s="520">
        <v>399072588</v>
      </c>
      <c r="HM25" s="521">
        <f t="shared" si="1"/>
        <v>1.0909090909090908</v>
      </c>
      <c r="HN25" s="521">
        <f t="shared" si="2"/>
        <v>1.0857951172996936</v>
      </c>
      <c r="HO25" s="522">
        <v>0</v>
      </c>
      <c r="HP25" s="522">
        <v>0</v>
      </c>
      <c r="HQ25" s="522">
        <v>1</v>
      </c>
      <c r="HU25" s="523">
        <v>20</v>
      </c>
      <c r="HV25" s="524">
        <v>20</v>
      </c>
      <c r="HW25" s="525">
        <f t="shared" si="3"/>
        <v>1.0857951172996936</v>
      </c>
      <c r="HX25" s="402">
        <v>24604.870000000003</v>
      </c>
      <c r="HY25" s="526">
        <f t="shared" si="23"/>
        <v>26715.847707793713</v>
      </c>
      <c r="HZ25" s="402">
        <v>40668203</v>
      </c>
      <c r="IA25" s="526">
        <v>45317131</v>
      </c>
      <c r="IB25" s="402">
        <v>21119497.644400001</v>
      </c>
      <c r="IC25" s="526">
        <v>21893503</v>
      </c>
      <c r="ID25" s="402">
        <v>247500</v>
      </c>
      <c r="IE25" s="402">
        <v>270000</v>
      </c>
      <c r="IF25" s="402">
        <f t="shared" si="24"/>
        <v>21391602.514400002</v>
      </c>
      <c r="IG25" s="402">
        <f t="shared" si="24"/>
        <v>22190218.847707793</v>
      </c>
      <c r="IH25" s="239"/>
      <c r="II25" s="240"/>
      <c r="IJ25" s="239"/>
      <c r="IK25" s="527">
        <v>20</v>
      </c>
      <c r="IL25" s="524">
        <v>20</v>
      </c>
      <c r="IM25" s="528">
        <f t="shared" si="4"/>
        <v>1.0909090909090908</v>
      </c>
      <c r="IN25" s="529">
        <f t="shared" si="4"/>
        <v>1.0857951172996936</v>
      </c>
      <c r="IO25" s="402">
        <v>6438758.2086623451</v>
      </c>
      <c r="IP25" s="526">
        <f t="shared" si="63"/>
        <v>6991172.2244388955</v>
      </c>
      <c r="IQ25" s="402">
        <v>285407.92646871548</v>
      </c>
      <c r="IR25" s="526">
        <f t="shared" si="25"/>
        <v>309894.53299836122</v>
      </c>
      <c r="IS25" s="402">
        <v>2543581.3687376548</v>
      </c>
      <c r="IT25" s="526">
        <f t="shared" si="26"/>
        <v>2774816.0386228957</v>
      </c>
      <c r="IU25" s="402">
        <v>3101716.4000000004</v>
      </c>
      <c r="IV25" s="526">
        <v>3637176.4000000004</v>
      </c>
      <c r="IW25" s="402">
        <v>527575.51446002757</v>
      </c>
      <c r="IX25" s="526">
        <f>IW25*$HN25</f>
        <v>572838.91760757181</v>
      </c>
      <c r="IY25" s="402">
        <v>123409.05500000001</v>
      </c>
      <c r="IZ25" s="526">
        <f t="shared" si="28"/>
        <v>133996.94934956933</v>
      </c>
      <c r="JA25" s="402">
        <v>1622051.2439999997</v>
      </c>
      <c r="JB25" s="526">
        <f t="shared" si="29"/>
        <v>1761215.3207450935</v>
      </c>
      <c r="JC25" s="402">
        <v>1602946.1660507848</v>
      </c>
      <c r="JD25" s="526">
        <f t="shared" si="30"/>
        <v>1740471.1203922059</v>
      </c>
      <c r="JE25" s="402">
        <f t="shared" si="31"/>
        <v>16245445.883379525</v>
      </c>
      <c r="JF25" s="402">
        <f t="shared" si="31"/>
        <v>17921581.504154596</v>
      </c>
      <c r="JG25" s="530">
        <f t="shared" si="5"/>
        <v>4.4908074478306679</v>
      </c>
      <c r="JK25" s="400">
        <v>20</v>
      </c>
      <c r="JL25" s="519">
        <v>20</v>
      </c>
      <c r="JM25" s="531">
        <f t="shared" si="6"/>
        <v>12</v>
      </c>
      <c r="JN25" s="532">
        <f t="shared" si="32"/>
        <v>12</v>
      </c>
      <c r="JO25" s="533">
        <f t="shared" si="7"/>
        <v>399072588</v>
      </c>
      <c r="JP25" s="533">
        <f t="shared" si="8"/>
        <v>410529431.29580605</v>
      </c>
      <c r="JQ25" s="534">
        <f t="shared" si="33"/>
        <v>1</v>
      </c>
      <c r="JR25" s="534">
        <f t="shared" si="34"/>
        <v>1.0287086701525239</v>
      </c>
      <c r="JS25" s="534">
        <f t="shared" si="35"/>
        <v>1.0491888581054798</v>
      </c>
      <c r="JT25" s="519" t="s">
        <v>241</v>
      </c>
      <c r="JU25" s="248"/>
      <c r="JV25" s="249"/>
      <c r="JW25" s="248"/>
      <c r="JX25" s="400">
        <v>20</v>
      </c>
      <c r="JY25" s="519">
        <v>20</v>
      </c>
      <c r="JZ25" s="535" t="str">
        <f t="shared" si="9"/>
        <v>Q3</v>
      </c>
      <c r="KA25" s="536">
        <f t="shared" si="10"/>
        <v>1.0491888581054798</v>
      </c>
      <c r="KB25" s="537">
        <f t="shared" si="36"/>
        <v>26715.847707793713</v>
      </c>
      <c r="KC25" s="537">
        <f t="shared" si="37"/>
        <v>28029.969749859985</v>
      </c>
      <c r="KD25" s="537">
        <f t="shared" si="11"/>
        <v>45317131</v>
      </c>
      <c r="KE25" s="537">
        <f t="shared" si="38"/>
        <v>45236555.009973206</v>
      </c>
      <c r="KF25" s="537">
        <f t="shared" si="12"/>
        <v>21893503</v>
      </c>
      <c r="KG25" s="537">
        <f t="shared" si="13"/>
        <v>23163862.577118721</v>
      </c>
      <c r="KH25" s="537">
        <f t="shared" si="39"/>
        <v>270000</v>
      </c>
      <c r="KI25" s="537">
        <f t="shared" si="40"/>
        <v>871626.56064319797</v>
      </c>
      <c r="KJ25" s="537">
        <f t="shared" si="41"/>
        <v>22190218.847707793</v>
      </c>
      <c r="KK25" s="537">
        <f t="shared" si="41"/>
        <v>24063519.107511781</v>
      </c>
      <c r="KL25" s="252"/>
      <c r="KM25" s="249"/>
      <c r="KN25" s="248"/>
      <c r="KO25" s="306">
        <f t="shared" si="64"/>
        <v>20</v>
      </c>
      <c r="KP25" s="307">
        <v>19</v>
      </c>
      <c r="KQ25" s="308">
        <f t="shared" si="65"/>
        <v>1</v>
      </c>
      <c r="KR25" s="308">
        <f t="shared" si="65"/>
        <v>1.0287086701525239</v>
      </c>
      <c r="KS25" s="245">
        <v>1.69933333</v>
      </c>
      <c r="KT25" s="215">
        <f t="shared" si="66"/>
        <v>4951811.4637202313</v>
      </c>
      <c r="KU25" s="245">
        <v>1.69933333</v>
      </c>
      <c r="KV25" s="215">
        <f t="shared" si="42"/>
        <v>111158.73001097831</v>
      </c>
      <c r="KW25" s="245">
        <v>1.69933333</v>
      </c>
      <c r="KX25" s="215">
        <f t="shared" si="43"/>
        <v>1618502.1255049685</v>
      </c>
      <c r="KY25" s="245">
        <v>1.7150382799999999</v>
      </c>
      <c r="KZ25" s="215">
        <f t="shared" si="67"/>
        <v>2649732.3913829937</v>
      </c>
      <c r="LA25" s="245">
        <v>1.69933333</v>
      </c>
      <c r="LB25" s="215">
        <f t="shared" si="44"/>
        <v>161237.07458445674</v>
      </c>
      <c r="LC25" s="245">
        <v>1.69933333</v>
      </c>
      <c r="LD25" s="215">
        <f t="shared" si="45"/>
        <v>132579.81702215999</v>
      </c>
      <c r="LE25" s="245">
        <v>1.69933333</v>
      </c>
      <c r="LF25" s="215">
        <f t="shared" si="46"/>
        <v>1133926.4681258094</v>
      </c>
      <c r="LG25" s="245">
        <v>1.69933333</v>
      </c>
      <c r="LH25" s="309">
        <f t="shared" si="47"/>
        <v>2302995.6001110328</v>
      </c>
      <c r="LI25" s="310">
        <f t="shared" si="48"/>
        <v>12441907.497253427</v>
      </c>
      <c r="LJ25" s="310">
        <f t="shared" si="68"/>
        <v>13061943.670462631</v>
      </c>
      <c r="LK25" s="16"/>
      <c r="LL25" s="261"/>
      <c r="LN25" s="264">
        <v>20</v>
      </c>
      <c r="LO25" s="311">
        <v>20</v>
      </c>
      <c r="LP25" s="273">
        <f t="shared" si="14"/>
        <v>21391602.514400002</v>
      </c>
      <c r="LQ25" s="273">
        <f t="shared" si="14"/>
        <v>22190218.847707793</v>
      </c>
      <c r="LR25" s="270">
        <f t="shared" si="15"/>
        <v>24063519.107511781</v>
      </c>
      <c r="LS25" s="273">
        <f t="shared" si="16"/>
        <v>16245445.883379525</v>
      </c>
      <c r="LT25" s="273">
        <f t="shared" si="16"/>
        <v>17921581.504154596</v>
      </c>
      <c r="LU25" s="270">
        <f t="shared" si="49"/>
        <v>18803123.633788247</v>
      </c>
      <c r="LV25" s="273">
        <f t="shared" si="50"/>
        <v>5146156.631020477</v>
      </c>
      <c r="LW25" s="273">
        <f t="shared" si="50"/>
        <v>4268637.3435531966</v>
      </c>
      <c r="LX25" s="273">
        <f t="shared" si="50"/>
        <v>5260395.4737235345</v>
      </c>
      <c r="MH25" s="433">
        <f t="shared" si="79"/>
        <v>19</v>
      </c>
      <c r="MI25" s="538" t="s">
        <v>239</v>
      </c>
      <c r="MJ25" s="539">
        <f>MJ21+MJ23-MJ10</f>
        <v>141157092.40870643</v>
      </c>
      <c r="MK25" s="540">
        <f t="shared" ref="MK25:MK31" si="105">MJ25/$MJ$34*100</f>
        <v>6.311674062221706</v>
      </c>
      <c r="ML25" s="538"/>
      <c r="MM25" s="541">
        <f>MM21+MM23-MM10</f>
        <v>141157092.40870643</v>
      </c>
      <c r="MN25" s="540">
        <f>MM25/$MN$34*100</f>
        <v>6.311674062221706</v>
      </c>
      <c r="MR25" s="433">
        <f t="shared" si="80"/>
        <v>19</v>
      </c>
      <c r="MS25" s="539" t="str">
        <f>MI25</f>
        <v>Revenue Requirement</v>
      </c>
      <c r="MT25" s="542">
        <v>129633933.91392434</v>
      </c>
      <c r="MU25" s="539">
        <f>MJ25</f>
        <v>141157092.40870643</v>
      </c>
      <c r="MV25" s="539">
        <f t="shared" si="70"/>
        <v>11523158.49478209</v>
      </c>
      <c r="MW25" s="543">
        <f t="shared" si="71"/>
        <v>8.888998541410735E-2</v>
      </c>
    </row>
    <row r="26" spans="1:364" s="29" customFormat="1" ht="17.25" thickBot="1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3"/>
      <c r="U26" s="12"/>
      <c r="V26" s="12"/>
      <c r="W26" s="12"/>
      <c r="X26" s="12"/>
      <c r="Y26" s="12"/>
      <c r="Z26" s="12"/>
      <c r="AA26" s="12"/>
      <c r="AB26" s="12"/>
      <c r="AC26" s="12"/>
      <c r="AD26" s="13"/>
      <c r="AE26" s="12"/>
      <c r="AF26" s="12"/>
      <c r="AG26" s="12"/>
      <c r="AH26" s="12"/>
      <c r="AI26" s="12"/>
      <c r="AJ26" s="12"/>
      <c r="AK26" s="12"/>
      <c r="AL26" s="409"/>
      <c r="AM26" s="12"/>
      <c r="AN26" s="544"/>
      <c r="AO26" s="545"/>
      <c r="AP26" s="12"/>
      <c r="AQ26" s="15"/>
      <c r="AR26" s="12"/>
      <c r="AS26" s="546"/>
      <c r="AT26" s="546"/>
      <c r="AU26" s="15"/>
      <c r="AV26" s="546"/>
      <c r="AW26" s="546"/>
      <c r="AX26" s="546"/>
      <c r="AY26" s="15"/>
      <c r="AZ26" s="546"/>
      <c r="BA26" s="546"/>
      <c r="BB26" s="546"/>
      <c r="BC26" s="15"/>
      <c r="BD26" s="546"/>
      <c r="BE26" s="546"/>
      <c r="BF26" s="546"/>
      <c r="BG26" s="15"/>
      <c r="BH26" s="546"/>
      <c r="BI26" s="546"/>
      <c r="BJ26" s="546"/>
      <c r="BK26" s="15"/>
      <c r="BL26" s="546"/>
      <c r="BM26" s="546"/>
      <c r="BN26" s="546"/>
      <c r="BO26" s="15"/>
      <c r="BP26" s="546"/>
      <c r="BQ26" s="546"/>
      <c r="BR26" s="546"/>
      <c r="BS26" s="15"/>
      <c r="BT26" s="546"/>
      <c r="BU26" s="546"/>
      <c r="BV26" s="546"/>
      <c r="BW26" s="546"/>
      <c r="BX26" s="546"/>
      <c r="BY26" s="546"/>
      <c r="BZ26" s="546"/>
      <c r="CA26" s="546"/>
      <c r="CB26" s="546"/>
      <c r="CC26" s="546"/>
      <c r="CD26" s="546"/>
      <c r="CE26" s="546"/>
      <c r="CF26" s="546"/>
      <c r="CG26" s="546"/>
      <c r="CH26" s="546"/>
      <c r="CI26" s="546"/>
      <c r="CJ26" s="546"/>
      <c r="CK26" s="546"/>
      <c r="CL26" s="546"/>
      <c r="CM26" s="546"/>
      <c r="CN26" s="12"/>
      <c r="CO26" s="13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3"/>
      <c r="DC26" s="12"/>
      <c r="DD26" s="12"/>
      <c r="DE26" s="12"/>
      <c r="DF26" s="12"/>
      <c r="DG26" s="16"/>
      <c r="DH26" s="12"/>
      <c r="DI26" s="12"/>
      <c r="DJ26" s="12"/>
      <c r="DK26" s="12"/>
      <c r="DL26" s="13"/>
      <c r="DM26" s="12"/>
      <c r="DN26" s="12"/>
      <c r="DO26" s="12"/>
      <c r="DP26" s="12"/>
      <c r="DQ26" s="12"/>
      <c r="DR26" s="12"/>
      <c r="DS26" s="16"/>
      <c r="DT26" s="12"/>
      <c r="DU26" s="12"/>
      <c r="DV26" s="12"/>
      <c r="DW26" s="12"/>
      <c r="DX26" s="12"/>
      <c r="DY26" s="13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3"/>
      <c r="EM26" s="547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3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3"/>
      <c r="FP26" s="12"/>
      <c r="FQ26" s="548">
        <f t="shared" si="78"/>
        <v>21</v>
      </c>
      <c r="FR26" s="549" t="s">
        <v>240</v>
      </c>
      <c r="FS26" s="550"/>
      <c r="FT26" s="551"/>
      <c r="FU26" s="551"/>
      <c r="FV26" s="551"/>
      <c r="FW26" s="552"/>
      <c r="FX26" s="551"/>
      <c r="FY26" s="551"/>
      <c r="FZ26" s="551"/>
      <c r="GA26" s="551"/>
      <c r="GB26" s="551"/>
      <c r="GC26" s="16"/>
      <c r="GD26" s="346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3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3"/>
      <c r="HE26" s="12"/>
      <c r="HF26" s="12"/>
      <c r="HG26" s="412">
        <v>21</v>
      </c>
      <c r="HH26" s="553" t="s">
        <v>72</v>
      </c>
      <c r="HI26" s="553">
        <f>SUM(HI6:HI25)</f>
        <v>209</v>
      </c>
      <c r="HJ26" s="553">
        <f>SUM(HJ6:HJ25)</f>
        <v>221</v>
      </c>
      <c r="HK26" s="554">
        <f>SUM(HK6:HK25)</f>
        <v>2110320714.5333333</v>
      </c>
      <c r="HL26" s="554">
        <f>SUM(HL6:HL25)</f>
        <v>2174031039</v>
      </c>
      <c r="HM26" s="555">
        <f t="shared" si="1"/>
        <v>1.0574162679425838</v>
      </c>
      <c r="HN26" s="555">
        <f t="shared" si="2"/>
        <v>1.0301898777886731</v>
      </c>
      <c r="HO26" s="554"/>
      <c r="HP26" s="554"/>
      <c r="HQ26" s="554"/>
      <c r="HR26" s="205"/>
      <c r="HS26" s="13"/>
      <c r="HT26" s="446"/>
      <c r="HU26" s="556">
        <v>21</v>
      </c>
      <c r="HV26" s="557" t="s">
        <v>72</v>
      </c>
      <c r="HW26" s="558">
        <f t="shared" si="3"/>
        <v>1.0301898777886731</v>
      </c>
      <c r="HX26" s="559">
        <f t="shared" ref="HX26:IC26" si="106">SUM(HX6:HX25)</f>
        <v>293716.37849999999</v>
      </c>
      <c r="HY26" s="560">
        <f t="shared" si="106"/>
        <v>300606.60275352502</v>
      </c>
      <c r="HZ26" s="559">
        <f t="shared" si="106"/>
        <v>234540682.18333334</v>
      </c>
      <c r="IA26" s="560">
        <f t="shared" si="106"/>
        <v>247914418</v>
      </c>
      <c r="IB26" s="559">
        <f t="shared" si="106"/>
        <v>115912022.03442553</v>
      </c>
      <c r="IC26" s="560">
        <f t="shared" si="106"/>
        <v>117864670</v>
      </c>
      <c r="ID26" s="559">
        <f>SUM(ID6:ID25)</f>
        <v>4627220.5439811405</v>
      </c>
      <c r="IE26" s="560">
        <f>SUM(IE6:IE25)</f>
        <v>4751774.2208720129</v>
      </c>
      <c r="IF26" s="559">
        <f>SUM(HX26,IB26,ID26)</f>
        <v>120832958.95690666</v>
      </c>
      <c r="IG26" s="559">
        <f>SUM(HY26,IC26,IE26)</f>
        <v>122917050.82362553</v>
      </c>
      <c r="IH26" s="561"/>
      <c r="II26" s="562"/>
      <c r="IJ26" s="561"/>
      <c r="IK26" s="241">
        <v>21</v>
      </c>
      <c r="IL26" s="563" t="s">
        <v>72</v>
      </c>
      <c r="IM26" s="564">
        <f>HM26</f>
        <v>1.0574162679425838</v>
      </c>
      <c r="IN26" s="565">
        <f t="shared" ref="IN26" si="107">HN26</f>
        <v>1.0301898777886731</v>
      </c>
      <c r="IO26" s="566">
        <f t="shared" ref="IO26:JD26" si="108">SUM(IO6:IO25)</f>
        <v>39165847.865128696</v>
      </c>
      <c r="IP26" s="567">
        <f t="shared" si="108"/>
        <v>40436057.801948979</v>
      </c>
      <c r="IQ26" s="566">
        <f t="shared" si="108"/>
        <v>2143832.9609526349</v>
      </c>
      <c r="IR26" s="567">
        <f t="shared" si="108"/>
        <v>2191597.1834185803</v>
      </c>
      <c r="IS26" s="566">
        <f t="shared" si="108"/>
        <v>17328320.919371299</v>
      </c>
      <c r="IT26" s="567">
        <f t="shared" si="108"/>
        <v>17972295.695567392</v>
      </c>
      <c r="IU26" s="566">
        <f t="shared" si="108"/>
        <v>25306826.100000001</v>
      </c>
      <c r="IV26" s="567">
        <f t="shared" si="108"/>
        <v>26647634.949999996</v>
      </c>
      <c r="IW26" s="566">
        <f>SUM(IW6:IW25)</f>
        <v>2518068.1538858856</v>
      </c>
      <c r="IX26" s="567">
        <f>SUM(IX6:IX25)</f>
        <v>2580991.4768945579</v>
      </c>
      <c r="IY26" s="566">
        <f>SUM(IY6:IY25)</f>
        <v>1527762.1653999996</v>
      </c>
      <c r="IZ26" s="567">
        <f>SUM(IZ6:IZ25)</f>
        <v>1560059.1870254704</v>
      </c>
      <c r="JA26" s="566">
        <f t="shared" si="108"/>
        <v>7476380.3075999999</v>
      </c>
      <c r="JB26" s="567">
        <f t="shared" si="108"/>
        <v>7709512.1483065821</v>
      </c>
      <c r="JC26" s="566">
        <f t="shared" si="108"/>
        <v>13652095.174169552</v>
      </c>
      <c r="JD26" s="567">
        <f t="shared" si="108"/>
        <v>14025887.567105127</v>
      </c>
      <c r="JE26" s="566">
        <f t="shared" si="31"/>
        <v>109119133.64650808</v>
      </c>
      <c r="JF26" s="566">
        <f>IP26+IR26+IT26+IV26+JB26+JD26+IX26+IZ26</f>
        <v>113124036.01026669</v>
      </c>
      <c r="JG26" s="568">
        <f t="shared" si="5"/>
        <v>5.2034232253786463</v>
      </c>
      <c r="JH26" s="205"/>
      <c r="JI26" s="569"/>
      <c r="JJ26" s="12"/>
      <c r="JK26" s="412">
        <v>21</v>
      </c>
      <c r="JL26" s="553" t="s">
        <v>72</v>
      </c>
      <c r="JM26" s="487">
        <f>SUM(JM6:JM25)</f>
        <v>221</v>
      </c>
      <c r="JN26" s="487">
        <f>SUM(JN6:JN25)</f>
        <v>220</v>
      </c>
      <c r="JO26" s="570">
        <f>SUM(JO6:JO25)</f>
        <v>2174031039</v>
      </c>
      <c r="JP26" s="570">
        <v>2236444579</v>
      </c>
      <c r="JQ26" s="571">
        <f t="shared" si="33"/>
        <v>0.99547511312217196</v>
      </c>
      <c r="JR26" s="571">
        <f t="shared" si="34"/>
        <v>1.0287086701525239</v>
      </c>
      <c r="JS26" s="571">
        <f>LJ27/LI28</f>
        <v>1.0472445059324889</v>
      </c>
      <c r="JT26" s="572" t="s">
        <v>241</v>
      </c>
      <c r="JU26" s="573"/>
      <c r="JV26" s="574"/>
      <c r="JW26" s="573"/>
      <c r="JX26" s="207">
        <v>21</v>
      </c>
      <c r="JY26" s="575" t="s">
        <v>72</v>
      </c>
      <c r="JZ26" s="576" t="str">
        <f>JT26</f>
        <v>Q3</v>
      </c>
      <c r="KA26" s="577">
        <f t="shared" si="10"/>
        <v>1.0472445059324889</v>
      </c>
      <c r="KB26" s="450">
        <f>SUM(KB6:KB25)</f>
        <v>300606.60275352502</v>
      </c>
      <c r="KC26" s="450">
        <f>SUM(KC6:KC25)</f>
        <v>314315.70141989313</v>
      </c>
      <c r="KD26" s="450">
        <f t="shared" si="11"/>
        <v>247914418</v>
      </c>
      <c r="KE26" s="450">
        <f>SUMPRODUCT('Phase II Schedules'!HS4:HS28,'Phase II Schedules'!HX4:HX28)/100</f>
        <v>246435554.94999999</v>
      </c>
      <c r="KF26" s="450">
        <f>SUM(KF6:KF25)</f>
        <v>117864670</v>
      </c>
      <c r="KG26" s="450">
        <f>SUMPRODUCT('Phase II Schedules'!JI4:JI28,'Phase II Schedules'!JK4:JK28)/100</f>
        <v>126189965.78584002</v>
      </c>
      <c r="KH26" s="450">
        <f>SUM(KH6:KH25)</f>
        <v>4751774.2208720129</v>
      </c>
      <c r="KI26" s="450">
        <f>'Phase II Schedules'!II4*'Phase II Schedules'!IH4</f>
        <v>4748367.2249999996</v>
      </c>
      <c r="KJ26" s="450">
        <f>SUM(KB26,KF26,KH26)</f>
        <v>122917050.82362553</v>
      </c>
      <c r="KK26" s="450">
        <f>SUM(KC26,KG26,KI26)</f>
        <v>131252648.7122599</v>
      </c>
      <c r="KL26" s="573"/>
      <c r="KM26" s="574"/>
      <c r="KN26" s="573"/>
      <c r="KO26" s="295">
        <f t="shared" si="64"/>
        <v>21</v>
      </c>
      <c r="KP26" s="296">
        <v>20</v>
      </c>
      <c r="KQ26" s="349">
        <f t="shared" si="65"/>
        <v>1</v>
      </c>
      <c r="KR26" s="349">
        <f t="shared" si="65"/>
        <v>1.0287086701525239</v>
      </c>
      <c r="KS26" s="301">
        <v>1.69933333</v>
      </c>
      <c r="KT26" s="270">
        <f t="shared" si="66"/>
        <v>7422582.1807569358</v>
      </c>
      <c r="KU26" s="301">
        <v>1.69933333</v>
      </c>
      <c r="KV26" s="526">
        <f t="shared" si="42"/>
        <v>329017.44724680152</v>
      </c>
      <c r="KW26" s="301">
        <v>1.69933333</v>
      </c>
      <c r="KX26" s="270">
        <f t="shared" si="43"/>
        <v>2863827.2005606396</v>
      </c>
      <c r="KY26" s="301">
        <v>1.7150382799999999</v>
      </c>
      <c r="KZ26" s="526">
        <f t="shared" si="67"/>
        <v>3719475.7846943736</v>
      </c>
      <c r="LA26" s="301">
        <v>1.69933333</v>
      </c>
      <c r="LB26" s="526">
        <f t="shared" si="44"/>
        <v>608187.5550733282</v>
      </c>
      <c r="LC26" s="301">
        <v>1.69933333</v>
      </c>
      <c r="LD26" s="526">
        <f t="shared" si="45"/>
        <v>142265.60819673256</v>
      </c>
      <c r="LE26" s="301">
        <v>1.69933333</v>
      </c>
      <c r="LF26" s="526">
        <f t="shared" si="46"/>
        <v>1869896.0684361986</v>
      </c>
      <c r="LG26" s="301">
        <v>1.69933333</v>
      </c>
      <c r="LH26" s="270">
        <f t="shared" si="47"/>
        <v>1847871.7888232395</v>
      </c>
      <c r="LI26" s="273">
        <f t="shared" si="48"/>
        <v>17921581.504154596</v>
      </c>
      <c r="LJ26" s="273">
        <f t="shared" si="68"/>
        <v>18803123.633788247</v>
      </c>
      <c r="LK26" s="16"/>
      <c r="LL26" s="13"/>
      <c r="LM26" s="12"/>
      <c r="LN26" s="207">
        <v>21</v>
      </c>
      <c r="LO26" s="578" t="s">
        <v>72</v>
      </c>
      <c r="LP26" s="450">
        <f t="shared" ref="LP26:LU26" si="109">SUM(LP6:LP25)</f>
        <v>120832958.95690668</v>
      </c>
      <c r="LQ26" s="450">
        <f t="shared" si="109"/>
        <v>122917050.82362553</v>
      </c>
      <c r="LR26" s="451">
        <f t="shared" si="109"/>
        <v>131252648.71225992</v>
      </c>
      <c r="LS26" s="450">
        <f t="shared" si="109"/>
        <v>109119133.64650805</v>
      </c>
      <c r="LT26" s="450">
        <f t="shared" si="109"/>
        <v>113124036.01026671</v>
      </c>
      <c r="LU26" s="451">
        <f t="shared" si="109"/>
        <v>118468525.20066081</v>
      </c>
      <c r="LV26" s="450">
        <f t="shared" si="50"/>
        <v>11713825.310398623</v>
      </c>
      <c r="LW26" s="450">
        <f t="shared" si="50"/>
        <v>9793014.8133588284</v>
      </c>
      <c r="LX26" s="450">
        <f t="shared" si="50"/>
        <v>12784123.511599109</v>
      </c>
      <c r="LY26" s="12"/>
      <c r="LZ26" s="13"/>
      <c r="MA26" s="12"/>
      <c r="MB26" s="12"/>
      <c r="MC26" s="12"/>
      <c r="MD26" s="12"/>
      <c r="ME26" s="12"/>
      <c r="MF26" s="13"/>
      <c r="MG26" s="12"/>
      <c r="MH26" s="264">
        <f t="shared" si="79"/>
        <v>20</v>
      </c>
      <c r="MI26" s="273" t="s">
        <v>242</v>
      </c>
      <c r="MJ26" s="273">
        <v>0</v>
      </c>
      <c r="MK26" s="352">
        <f t="shared" si="105"/>
        <v>0</v>
      </c>
      <c r="ML26" s="15"/>
      <c r="MM26" s="267">
        <f>MJ26</f>
        <v>0</v>
      </c>
      <c r="MN26" s="352">
        <f>MM26/$MJ$34*100</f>
        <v>0</v>
      </c>
      <c r="MO26" s="12"/>
      <c r="MP26" s="13"/>
      <c r="MQ26" s="12"/>
      <c r="MR26" s="264">
        <f t="shared" si="80"/>
        <v>20</v>
      </c>
      <c r="MS26" s="273" t="s">
        <v>242</v>
      </c>
      <c r="MT26" s="353">
        <v>0</v>
      </c>
      <c r="MU26" s="273">
        <f>MJ26</f>
        <v>0</v>
      </c>
      <c r="MV26" s="273">
        <f t="shared" si="70"/>
        <v>0</v>
      </c>
      <c r="MW26" s="283">
        <f>IFERROR(MV26/MT26,0)</f>
        <v>0</v>
      </c>
      <c r="MX26" s="12"/>
      <c r="MY26" s="13"/>
      <c r="MZ26" s="12"/>
    </row>
    <row r="27" spans="1:364" ht="17.25" thickBot="1" x14ac:dyDescent="0.35">
      <c r="H27" s="579"/>
      <c r="I27" s="579"/>
      <c r="J27" s="579"/>
      <c r="K27" s="579"/>
      <c r="L27" s="579"/>
      <c r="O27" s="579"/>
      <c r="AL27" s="409"/>
      <c r="AN27" s="378"/>
      <c r="AS27" s="19"/>
      <c r="AT27" s="278"/>
      <c r="AV27" s="19"/>
      <c r="AW27" s="278"/>
      <c r="AX27" s="279"/>
      <c r="AZ27" s="19"/>
      <c r="BA27" s="278"/>
      <c r="BB27" s="279"/>
      <c r="BD27" s="19"/>
      <c r="BE27" s="278"/>
      <c r="BF27" s="279"/>
      <c r="BH27" s="19"/>
      <c r="BI27" s="278"/>
      <c r="BJ27" s="279"/>
      <c r="BL27" s="19"/>
      <c r="BM27" s="278"/>
      <c r="BN27" s="279"/>
      <c r="BP27" s="19"/>
      <c r="BQ27" s="278"/>
      <c r="BR27" s="279"/>
      <c r="BT27" s="19"/>
      <c r="BU27" s="278"/>
      <c r="BV27" s="279"/>
      <c r="BW27" s="279"/>
      <c r="BX27" s="279"/>
      <c r="BY27" s="279"/>
      <c r="BZ27" s="279"/>
      <c r="CA27" s="279"/>
      <c r="CB27" s="279"/>
      <c r="CC27" s="279"/>
      <c r="CD27" s="279"/>
      <c r="CE27" s="279"/>
      <c r="CF27" s="19"/>
      <c r="CH27" s="279"/>
      <c r="CI27" s="279"/>
      <c r="CJ27" s="279"/>
      <c r="CK27" s="279"/>
      <c r="CL27" s="279"/>
      <c r="CM27" s="279"/>
      <c r="EK27" s="547"/>
      <c r="FQ27" s="264">
        <f t="shared" si="78"/>
        <v>22</v>
      </c>
      <c r="FR27" s="292"/>
      <c r="FS27" s="293" t="s">
        <v>243</v>
      </c>
      <c r="FT27" s="273">
        <v>45878.05</v>
      </c>
      <c r="FU27" s="273">
        <v>156504.24</v>
      </c>
      <c r="FV27" s="273">
        <v>121423.15</v>
      </c>
      <c r="FW27" s="270">
        <f t="shared" ref="FW27:FW32" si="110">FT27+FV27+FU27</f>
        <v>323805.44</v>
      </c>
      <c r="FX27" s="273">
        <v>45878.05</v>
      </c>
      <c r="FY27" s="273">
        <v>156504.24</v>
      </c>
      <c r="FZ27" s="273">
        <v>121423.14999999998</v>
      </c>
      <c r="GA27" s="273">
        <v>323805.43999999994</v>
      </c>
      <c r="GB27" s="273">
        <v>254538.35905798696</v>
      </c>
      <c r="GC27" s="16"/>
      <c r="GD27" s="346"/>
      <c r="HG27" s="580"/>
      <c r="HT27" s="5"/>
      <c r="HU27" s="581">
        <v>22</v>
      </c>
      <c r="HV27" s="582" t="s">
        <v>244</v>
      </c>
      <c r="HW27" s="583"/>
      <c r="HX27" s="584"/>
      <c r="HY27" s="585">
        <f>HY26/HX26</f>
        <v>1.0234587675658851</v>
      </c>
      <c r="HZ27" s="584"/>
      <c r="IA27" s="585">
        <f>IA26/HZ26</f>
        <v>1.057020964091052</v>
      </c>
      <c r="IB27" s="584"/>
      <c r="IC27" s="585">
        <f>IC26/IB26</f>
        <v>1.0168459486022472</v>
      </c>
      <c r="ID27" s="584"/>
      <c r="IE27" s="585">
        <f>IE26/ID26</f>
        <v>1.0269176011186425</v>
      </c>
      <c r="IF27" s="584"/>
      <c r="IG27" s="586">
        <f>IG26/IF26</f>
        <v>1.0172477102663864</v>
      </c>
      <c r="IH27" s="587"/>
      <c r="II27" s="588"/>
      <c r="IJ27" s="587"/>
      <c r="IK27" s="589">
        <v>22</v>
      </c>
      <c r="IL27" s="584" t="s">
        <v>244</v>
      </c>
      <c r="IM27" s="590"/>
      <c r="IN27" s="590"/>
      <c r="IO27" s="591"/>
      <c r="IP27" s="592">
        <f>IP26/IO26</f>
        <v>1.0324315700044173</v>
      </c>
      <c r="IQ27" s="591"/>
      <c r="IR27" s="592">
        <f>IR26/IQ26</f>
        <v>1.0222798246579439</v>
      </c>
      <c r="IS27" s="591"/>
      <c r="IT27" s="592">
        <f>IT26/IS26</f>
        <v>1.0371631376861328</v>
      </c>
      <c r="IU27" s="591"/>
      <c r="IV27" s="592">
        <f>IV26/IU26</f>
        <v>1.0529821023269288</v>
      </c>
      <c r="IW27" s="593"/>
      <c r="IX27" s="592">
        <f>IX26/IW26</f>
        <v>1.024988729122192</v>
      </c>
      <c r="IY27" s="593"/>
      <c r="IZ27" s="592">
        <f>IZ26/IY26</f>
        <v>1.0211400847310648</v>
      </c>
      <c r="JA27" s="591"/>
      <c r="JB27" s="592">
        <f>JB26/JA26</f>
        <v>1.0311824480717755</v>
      </c>
      <c r="JC27" s="591"/>
      <c r="JD27" s="592">
        <f>JD26/JC26</f>
        <v>1.0273798554849523</v>
      </c>
      <c r="JE27" s="593"/>
      <c r="JF27" s="594">
        <f>JF26/JE26</f>
        <v>1.0367021092444932</v>
      </c>
      <c r="JG27" s="594"/>
      <c r="JH27" s="279"/>
      <c r="JI27" s="409"/>
      <c r="JO27" s="278"/>
      <c r="JV27" s="595"/>
      <c r="JW27" s="596"/>
      <c r="JX27" s="597">
        <v>22</v>
      </c>
      <c r="JY27" s="598" t="s">
        <v>245</v>
      </c>
      <c r="JZ27" s="598"/>
      <c r="KA27" s="598"/>
      <c r="KB27" s="593"/>
      <c r="KC27" s="599">
        <f>KC26/KB26</f>
        <v>1.0456047822662384</v>
      </c>
      <c r="KD27" s="591"/>
      <c r="KE27" s="599">
        <f>KE26/KD26</f>
        <v>0.99403478401163414</v>
      </c>
      <c r="KF27" s="591"/>
      <c r="KG27" s="599">
        <f>KG26/KF26</f>
        <v>1.0706343621531373</v>
      </c>
      <c r="KH27" s="600"/>
      <c r="KI27" s="600">
        <f>KI26/KH26</f>
        <v>0.99928300552306371</v>
      </c>
      <c r="KJ27" s="591"/>
      <c r="KK27" s="600">
        <f>KK26/KJ26</f>
        <v>1.0678148217255488</v>
      </c>
      <c r="KL27" s="596"/>
      <c r="KM27" s="595"/>
      <c r="KN27" s="596"/>
      <c r="KO27" s="601">
        <f t="shared" si="64"/>
        <v>22</v>
      </c>
      <c r="KP27" s="602" t="s">
        <v>72</v>
      </c>
      <c r="KQ27" s="603">
        <f t="shared" si="65"/>
        <v>0.99547511312217196</v>
      </c>
      <c r="KR27" s="603">
        <f t="shared" si="65"/>
        <v>1.0287086701525239</v>
      </c>
      <c r="KS27" s="604"/>
      <c r="KT27" s="605">
        <f>SUM(KT7:KT26)</f>
        <v>42928836.218025245</v>
      </c>
      <c r="KU27" s="606"/>
      <c r="KV27" s="607">
        <f>SUM(KV7:KV26)</f>
        <v>2326746.2074128287</v>
      </c>
      <c r="KW27" s="608"/>
      <c r="KX27" s="605">
        <f>SUM(KX7:KX26)</f>
        <v>18534338.858237363</v>
      </c>
      <c r="KY27" s="609"/>
      <c r="KZ27" s="607">
        <f>SUM(KZ7:KZ26)</f>
        <v>27206919.806031119</v>
      </c>
      <c r="LA27" s="610"/>
      <c r="LB27" s="607">
        <f>SUM(LB7:LB26)</f>
        <v>2740145.8153777476</v>
      </c>
      <c r="LC27" s="610"/>
      <c r="LD27" s="607">
        <f>SUM(LD7:LD26)</f>
        <v>1656213.9650536964</v>
      </c>
      <c r="LE27" s="610"/>
      <c r="LF27" s="607">
        <f>SUM(LF7:LF26)</f>
        <v>8184919.783877925</v>
      </c>
      <c r="LG27" s="610"/>
      <c r="LH27" s="605">
        <f>SUM(LH7:LH26)</f>
        <v>14890404.546644907</v>
      </c>
      <c r="LI27" s="607"/>
      <c r="LJ27" s="607">
        <f>KT27+KV27+KX27+KZ27+LF27+LH27+LB27+LD27</f>
        <v>118468525.20066082</v>
      </c>
      <c r="LK27" s="16"/>
      <c r="LL27" s="611"/>
      <c r="LN27" s="5"/>
      <c r="LP27" s="612" t="s">
        <v>246</v>
      </c>
      <c r="LQ27" s="613"/>
      <c r="LR27" s="230"/>
      <c r="LS27" s="230"/>
      <c r="LT27" s="230"/>
      <c r="LU27" s="230"/>
      <c r="LV27" s="230"/>
      <c r="LW27" s="230"/>
      <c r="MH27" s="433">
        <f t="shared" si="79"/>
        <v>21</v>
      </c>
      <c r="MI27" s="614" t="s">
        <v>247</v>
      </c>
      <c r="MJ27" s="614">
        <v>0</v>
      </c>
      <c r="MK27" s="615">
        <f t="shared" si="105"/>
        <v>0</v>
      </c>
      <c r="ML27" s="314"/>
      <c r="MM27" s="616">
        <f>MJ27</f>
        <v>0</v>
      </c>
      <c r="MN27" s="615">
        <f>MM27/$MJ$34*100</f>
        <v>0</v>
      </c>
      <c r="MR27" s="433">
        <f t="shared" si="80"/>
        <v>21</v>
      </c>
      <c r="MS27" s="614" t="s">
        <v>247</v>
      </c>
      <c r="MT27" s="617">
        <v>0</v>
      </c>
      <c r="MU27" s="614">
        <v>0</v>
      </c>
      <c r="MV27" s="614">
        <f t="shared" si="70"/>
        <v>0</v>
      </c>
      <c r="MW27" s="543">
        <f>IFERROR(MV27/MT27,0)</f>
        <v>0</v>
      </c>
    </row>
    <row r="28" spans="1:364" s="29" customFormat="1" ht="17.25" thickBot="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579"/>
      <c r="P28" s="12"/>
      <c r="Q28" s="12"/>
      <c r="R28" s="12"/>
      <c r="S28" s="12"/>
      <c r="T28" s="13"/>
      <c r="U28" s="12"/>
      <c r="V28" s="12"/>
      <c r="W28" s="12"/>
      <c r="X28" s="12"/>
      <c r="Y28" s="12"/>
      <c r="Z28" s="12"/>
      <c r="AA28" s="12"/>
      <c r="AB28" s="12"/>
      <c r="AC28" s="12"/>
      <c r="AD28" s="13"/>
      <c r="AE28" s="12"/>
      <c r="AF28" s="12"/>
      <c r="AG28" s="12"/>
      <c r="AH28" s="12"/>
      <c r="AI28" s="12"/>
      <c r="AJ28" s="12"/>
      <c r="AK28" s="12"/>
      <c r="AL28" s="409"/>
      <c r="AM28" s="12"/>
      <c r="AN28" s="378"/>
      <c r="AO28" s="12"/>
      <c r="AP28" s="12"/>
      <c r="AQ28" s="12"/>
      <c r="AR28" s="12"/>
      <c r="AS28" s="19"/>
      <c r="AT28" s="278"/>
      <c r="AU28" s="12"/>
      <c r="AV28" s="19"/>
      <c r="AW28" s="278"/>
      <c r="AX28" s="279"/>
      <c r="AY28" s="12"/>
      <c r="AZ28" s="19"/>
      <c r="BA28" s="278"/>
      <c r="BB28" s="279"/>
      <c r="BC28" s="12"/>
      <c r="BD28" s="19"/>
      <c r="BE28" s="278"/>
      <c r="BF28" s="279"/>
      <c r="BG28" s="12"/>
      <c r="BH28" s="19"/>
      <c r="BI28" s="278"/>
      <c r="BJ28" s="279"/>
      <c r="BK28" s="12"/>
      <c r="BL28" s="19"/>
      <c r="BM28" s="278"/>
      <c r="BN28" s="279"/>
      <c r="BO28" s="12"/>
      <c r="BP28" s="19"/>
      <c r="BQ28" s="278"/>
      <c r="BR28" s="279"/>
      <c r="BS28" s="12"/>
      <c r="BT28" s="19"/>
      <c r="BU28" s="278"/>
      <c r="BV28" s="279"/>
      <c r="BW28" s="279"/>
      <c r="BX28" s="279"/>
      <c r="BY28" s="279"/>
      <c r="BZ28" s="279"/>
      <c r="CA28" s="279"/>
      <c r="CB28" s="279"/>
      <c r="CC28" s="279"/>
      <c r="CD28" s="279"/>
      <c r="CE28" s="279"/>
      <c r="CF28" s="19"/>
      <c r="CG28" s="12"/>
      <c r="CH28" s="279"/>
      <c r="CI28" s="279"/>
      <c r="CJ28" s="279"/>
      <c r="CK28" s="279"/>
      <c r="CL28" s="279"/>
      <c r="CM28" s="279"/>
      <c r="CN28" s="12"/>
      <c r="CO28" s="13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3"/>
      <c r="DC28" s="12"/>
      <c r="DD28" s="12"/>
      <c r="DE28" s="12"/>
      <c r="DF28" s="12"/>
      <c r="DG28" s="16"/>
      <c r="DH28" s="12"/>
      <c r="DI28" s="12"/>
      <c r="DJ28" s="12"/>
      <c r="DK28" s="12"/>
      <c r="DL28" s="13"/>
      <c r="DM28" s="12"/>
      <c r="DN28" s="12"/>
      <c r="DO28" s="12"/>
      <c r="DP28" s="12"/>
      <c r="DQ28" s="12"/>
      <c r="DR28" s="12"/>
      <c r="DS28" s="16"/>
      <c r="DT28" s="12"/>
      <c r="DU28" s="12"/>
      <c r="DV28" s="12"/>
      <c r="DW28" s="12"/>
      <c r="DX28" s="12"/>
      <c r="DY28" s="13"/>
      <c r="DZ28" s="12"/>
      <c r="EA28" s="12"/>
      <c r="EB28" s="17"/>
      <c r="EC28" s="18"/>
      <c r="ED28" s="18"/>
      <c r="EE28" s="18"/>
      <c r="EF28" s="18"/>
      <c r="EG28" s="12"/>
      <c r="EH28" s="12"/>
      <c r="EI28" s="12"/>
      <c r="EJ28" s="12"/>
      <c r="EK28" s="12"/>
      <c r="EL28" s="13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3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3"/>
      <c r="FP28" s="12"/>
      <c r="FQ28" s="548">
        <f t="shared" si="78"/>
        <v>23</v>
      </c>
      <c r="FR28" s="618"/>
      <c r="FS28" s="619" t="s">
        <v>248</v>
      </c>
      <c r="FT28" s="620">
        <v>350</v>
      </c>
      <c r="FU28" s="620">
        <v>0</v>
      </c>
      <c r="FV28" s="620">
        <v>0</v>
      </c>
      <c r="FW28" s="621">
        <f t="shared" si="110"/>
        <v>350</v>
      </c>
      <c r="FX28" s="620">
        <v>350</v>
      </c>
      <c r="FY28" s="620">
        <v>0</v>
      </c>
      <c r="FZ28" s="620">
        <v>0</v>
      </c>
      <c r="GA28" s="620">
        <v>350</v>
      </c>
      <c r="GB28" s="620">
        <v>350</v>
      </c>
      <c r="GC28" s="16"/>
      <c r="GD28" s="346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3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3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569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3"/>
      <c r="IJ28" s="12"/>
      <c r="IK28" s="12"/>
      <c r="IL28" s="12"/>
      <c r="IM28" s="12"/>
      <c r="IN28" s="12"/>
      <c r="IO28" s="12"/>
      <c r="IP28" s="12"/>
      <c r="IQ28" s="12"/>
      <c r="IR28" s="579"/>
      <c r="IS28" s="12"/>
      <c r="IT28" s="579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622" t="s">
        <v>249</v>
      </c>
      <c r="JF28" s="12"/>
      <c r="JG28" s="12"/>
      <c r="JH28" s="12"/>
      <c r="JI28" s="13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623"/>
      <c r="JW28" s="624"/>
      <c r="JX28" s="12"/>
      <c r="JY28" s="12"/>
      <c r="JZ28" s="12"/>
      <c r="KA28" s="12"/>
      <c r="KB28" s="12"/>
      <c r="KC28" s="12"/>
      <c r="KD28" s="12"/>
      <c r="KE28" s="464"/>
      <c r="KF28" s="12"/>
      <c r="KG28" s="12"/>
      <c r="KH28" s="12"/>
      <c r="KI28" s="12"/>
      <c r="KJ28" s="624"/>
      <c r="KK28" s="624"/>
      <c r="KL28" s="624"/>
      <c r="KM28" s="623"/>
      <c r="KN28" s="624"/>
      <c r="KO28" s="625">
        <f t="shared" si="64"/>
        <v>23</v>
      </c>
      <c r="KP28" s="598" t="s">
        <v>245</v>
      </c>
      <c r="KQ28" s="626"/>
      <c r="KR28" s="627"/>
      <c r="KS28" s="628">
        <f>IP26</f>
        <v>40436057.801948979</v>
      </c>
      <c r="KT28" s="599">
        <f>KT27/KS28</f>
        <v>1.0616474145003354</v>
      </c>
      <c r="KU28" s="628">
        <f>IR26</f>
        <v>2191597.1834185803</v>
      </c>
      <c r="KV28" s="599">
        <f>KV27/KU28</f>
        <v>1.0616669089633686</v>
      </c>
      <c r="KW28" s="628">
        <f>IT26</f>
        <v>17972295.695567392</v>
      </c>
      <c r="KX28" s="599">
        <f>KX27/KW28</f>
        <v>1.0312727529187378</v>
      </c>
      <c r="KY28" s="629">
        <f>IV26</f>
        <v>26647634.949999996</v>
      </c>
      <c r="KZ28" s="599">
        <f>KZ27/IV26</f>
        <v>1.0209881611287654</v>
      </c>
      <c r="LA28" s="628">
        <f>IX26</f>
        <v>2580991.4768945579</v>
      </c>
      <c r="LB28" s="599">
        <f>LB27/LA28</f>
        <v>1.0616640310159737</v>
      </c>
      <c r="LC28" s="628">
        <f>IZ26</f>
        <v>1560059.1870254704</v>
      </c>
      <c r="LD28" s="599">
        <f>LD27/LC28</f>
        <v>1.0616353397537193</v>
      </c>
      <c r="LE28" s="628">
        <f>JB26</f>
        <v>7709512.1483065821</v>
      </c>
      <c r="LF28" s="599">
        <f>LF27/LE28</f>
        <v>1.0616650737979274</v>
      </c>
      <c r="LG28" s="628">
        <f>JD26</f>
        <v>14025887.567105127</v>
      </c>
      <c r="LH28" s="599">
        <f>LH27/LG28</f>
        <v>1.0616372386705373</v>
      </c>
      <c r="LI28" s="628">
        <f>JF26</f>
        <v>113124036.01026669</v>
      </c>
      <c r="LJ28" s="600">
        <f>LJ27/LI28</f>
        <v>1.0472445059324889</v>
      </c>
      <c r="LK28" s="630"/>
      <c r="LL28" s="13"/>
      <c r="LM28" s="12"/>
      <c r="LN28" s="12"/>
      <c r="LO28" s="12"/>
      <c r="LP28" s="12"/>
      <c r="LQ28" s="12"/>
      <c r="LR28" s="271"/>
      <c r="LS28" s="12"/>
      <c r="LT28" s="12"/>
      <c r="LU28" s="12"/>
      <c r="LV28" s="12"/>
      <c r="LW28" s="12"/>
      <c r="LX28" s="12"/>
      <c r="LY28" s="12"/>
      <c r="LZ28" s="13"/>
      <c r="MA28" s="12"/>
      <c r="MB28" s="12"/>
      <c r="MC28" s="12"/>
      <c r="MD28" s="12"/>
      <c r="ME28" s="12"/>
      <c r="MF28" s="13"/>
      <c r="MG28" s="12"/>
      <c r="MH28" s="264">
        <f t="shared" si="79"/>
        <v>22</v>
      </c>
      <c r="MI28" s="631" t="s">
        <v>250</v>
      </c>
      <c r="MJ28" s="632">
        <f>SUM(MJ25:MJ27)</f>
        <v>141157092.40870643</v>
      </c>
      <c r="MK28" s="633">
        <f t="shared" si="105"/>
        <v>6.311674062221706</v>
      </c>
      <c r="ML28" s="422"/>
      <c r="MM28" s="634">
        <f>SUM(MM25:MM27)</f>
        <v>141157092.40870643</v>
      </c>
      <c r="MN28" s="633">
        <f>MM28/$MJ$34*100</f>
        <v>6.311674062221706</v>
      </c>
      <c r="MO28" s="12"/>
      <c r="MP28" s="13"/>
      <c r="MQ28" s="12"/>
      <c r="MR28" s="264">
        <f t="shared" si="80"/>
        <v>22</v>
      </c>
      <c r="MS28" s="631" t="s">
        <v>250</v>
      </c>
      <c r="MT28" s="635">
        <v>129633933.91392434</v>
      </c>
      <c r="MU28" s="632">
        <f>MU25+MU26+MU27</f>
        <v>141157092.40870643</v>
      </c>
      <c r="MV28" s="430">
        <f t="shared" si="70"/>
        <v>11523158.49478209</v>
      </c>
      <c r="MW28" s="283">
        <f t="shared" si="71"/>
        <v>8.888998541410735E-2</v>
      </c>
      <c r="MX28" s="12"/>
      <c r="MY28" s="13"/>
      <c r="MZ28" s="12"/>
    </row>
    <row r="29" spans="1:364" x14ac:dyDescent="0.3">
      <c r="AL29" s="409"/>
      <c r="AN29" s="378"/>
      <c r="AS29" s="19"/>
      <c r="AT29" s="278"/>
      <c r="AV29" s="19"/>
      <c r="AW29" s="278"/>
      <c r="AX29" s="279"/>
      <c r="AZ29" s="19"/>
      <c r="BA29" s="278"/>
      <c r="BB29" s="279"/>
      <c r="BD29" s="19"/>
      <c r="BE29" s="278"/>
      <c r="BF29" s="279"/>
      <c r="BH29" s="19"/>
      <c r="BI29" s="278"/>
      <c r="BJ29" s="279"/>
      <c r="BL29" s="19"/>
      <c r="BM29" s="278"/>
      <c r="BN29" s="279"/>
      <c r="BP29" s="19"/>
      <c r="BQ29" s="278"/>
      <c r="BR29" s="279"/>
      <c r="BT29" s="19"/>
      <c r="BU29" s="278"/>
      <c r="BV29" s="279"/>
      <c r="BW29" s="279"/>
      <c r="BX29" s="279"/>
      <c r="BY29" s="279"/>
      <c r="BZ29" s="279"/>
      <c r="CA29" s="279"/>
      <c r="CB29" s="279"/>
      <c r="CC29" s="279"/>
      <c r="CD29" s="279"/>
      <c r="CE29" s="279"/>
      <c r="CF29" s="19"/>
      <c r="CH29" s="279"/>
      <c r="CI29" s="279"/>
      <c r="CJ29" s="279"/>
      <c r="CK29" s="279"/>
      <c r="CL29" s="279"/>
      <c r="CM29" s="279"/>
      <c r="FQ29" s="264">
        <f t="shared" si="78"/>
        <v>24</v>
      </c>
      <c r="FR29" s="292"/>
      <c r="FS29" s="293" t="s">
        <v>251</v>
      </c>
      <c r="FT29" s="273">
        <v>69567</v>
      </c>
      <c r="FU29" s="273">
        <v>173853.78</v>
      </c>
      <c r="FV29" s="273">
        <v>19790</v>
      </c>
      <c r="FW29" s="270">
        <f t="shared" si="110"/>
        <v>263210.78000000003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16"/>
      <c r="GD29" s="346"/>
      <c r="JE29" s="622" t="s">
        <v>252</v>
      </c>
      <c r="JG29" s="279"/>
      <c r="JH29" s="279"/>
      <c r="JI29" s="409"/>
      <c r="JV29" s="623"/>
      <c r="JW29" s="624"/>
      <c r="JX29" s="624"/>
      <c r="JY29" s="624"/>
      <c r="JZ29" s="624"/>
      <c r="KA29" s="624"/>
      <c r="KB29" s="624"/>
      <c r="KD29" s="624"/>
      <c r="KE29" s="636"/>
      <c r="KF29" s="624"/>
      <c r="KG29" s="636"/>
      <c r="KH29" s="636"/>
      <c r="KI29" s="636"/>
      <c r="KJ29" s="624"/>
      <c r="KK29" s="624"/>
      <c r="KL29" s="624"/>
      <c r="KM29" s="623"/>
      <c r="KN29" s="624"/>
      <c r="KT29" s="279"/>
      <c r="KV29" s="279"/>
      <c r="KX29" s="279"/>
      <c r="KY29" s="279"/>
      <c r="KZ29" s="279"/>
      <c r="LA29" s="279"/>
      <c r="LB29" s="279"/>
      <c r="LC29" s="279"/>
      <c r="LD29" s="279"/>
      <c r="LF29" s="279"/>
      <c r="LH29" s="279"/>
      <c r="LJ29" s="279"/>
      <c r="LK29" s="579"/>
      <c r="MH29" s="207">
        <f t="shared" si="79"/>
        <v>23</v>
      </c>
      <c r="MI29" s="384" t="s">
        <v>253</v>
      </c>
      <c r="MJ29" s="637">
        <f>MJ11</f>
        <v>4748367.2249999996</v>
      </c>
      <c r="MK29" s="465">
        <f t="shared" si="105"/>
        <v>0.21231767912277874</v>
      </c>
      <c r="ML29" s="637">
        <f>ML11</f>
        <v>0</v>
      </c>
      <c r="MM29" s="638">
        <f>MM11</f>
        <v>4748367.2249999996</v>
      </c>
      <c r="MN29" s="465">
        <f>MM29/$MJ$34*100</f>
        <v>0.21231767912277874</v>
      </c>
      <c r="MR29" s="207">
        <f t="shared" si="80"/>
        <v>23</v>
      </c>
      <c r="MS29" s="384" t="s">
        <v>253</v>
      </c>
      <c r="MT29" s="639">
        <v>4749598.8</v>
      </c>
      <c r="MU29" s="637">
        <f>MJ29</f>
        <v>4748367.2249999996</v>
      </c>
      <c r="MV29" s="450">
        <f t="shared" si="70"/>
        <v>-1231.5750000001863</v>
      </c>
      <c r="MW29" s="332">
        <f t="shared" si="71"/>
        <v>-2.593008487369894E-4</v>
      </c>
    </row>
    <row r="30" spans="1:364" s="29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579"/>
      <c r="P30" s="12"/>
      <c r="Q30" s="12"/>
      <c r="R30" s="12"/>
      <c r="S30" s="12"/>
      <c r="T30" s="13"/>
      <c r="U30" s="12"/>
      <c r="V30" s="12"/>
      <c r="W30" s="12"/>
      <c r="X30" s="12"/>
      <c r="Y30" s="12"/>
      <c r="Z30" s="12"/>
      <c r="AA30" s="12"/>
      <c r="AB30" s="12"/>
      <c r="AC30" s="12"/>
      <c r="AD30" s="13"/>
      <c r="AE30" s="12"/>
      <c r="AF30" s="12"/>
      <c r="AG30" s="12"/>
      <c r="AH30" s="12"/>
      <c r="AI30" s="12"/>
      <c r="AJ30" s="12"/>
      <c r="AK30" s="12"/>
      <c r="AL30" s="409"/>
      <c r="AM30" s="12"/>
      <c r="AN30" s="378"/>
      <c r="AO30" s="12"/>
      <c r="AP30" s="12"/>
      <c r="AQ30" s="12"/>
      <c r="AR30" s="12"/>
      <c r="AS30" s="19"/>
      <c r="AT30" s="278"/>
      <c r="AU30" s="12"/>
      <c r="AV30" s="19"/>
      <c r="AW30" s="278"/>
      <c r="AX30" s="279"/>
      <c r="AY30" s="12"/>
      <c r="AZ30" s="19"/>
      <c r="BA30" s="278"/>
      <c r="BB30" s="279"/>
      <c r="BC30" s="12"/>
      <c r="BD30" s="19"/>
      <c r="BE30" s="278"/>
      <c r="BF30" s="279"/>
      <c r="BG30" s="12"/>
      <c r="BH30" s="19"/>
      <c r="BI30" s="278"/>
      <c r="BJ30" s="279"/>
      <c r="BK30" s="12"/>
      <c r="BL30" s="19"/>
      <c r="BM30" s="278"/>
      <c r="BN30" s="279"/>
      <c r="BO30" s="12"/>
      <c r="BP30" s="19"/>
      <c r="BQ30" s="278"/>
      <c r="BR30" s="279"/>
      <c r="BS30" s="12"/>
      <c r="BT30" s="19"/>
      <c r="BU30" s="278"/>
      <c r="BV30" s="279"/>
      <c r="BW30" s="279"/>
      <c r="BX30" s="279"/>
      <c r="BY30" s="279"/>
      <c r="BZ30" s="279"/>
      <c r="CA30" s="279"/>
      <c r="CB30" s="279"/>
      <c r="CC30" s="279"/>
      <c r="CD30" s="279"/>
      <c r="CE30" s="279"/>
      <c r="CF30" s="19"/>
      <c r="CG30" s="12"/>
      <c r="CH30" s="279"/>
      <c r="CI30" s="279"/>
      <c r="CJ30" s="279"/>
      <c r="CK30" s="279"/>
      <c r="CL30" s="279"/>
      <c r="CM30" s="279"/>
      <c r="CN30" s="12"/>
      <c r="CO30" s="13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3"/>
      <c r="DC30" s="12"/>
      <c r="DD30" s="12"/>
      <c r="DE30" s="12"/>
      <c r="DF30" s="12"/>
      <c r="DG30" s="16"/>
      <c r="DH30" s="12"/>
      <c r="DI30" s="12"/>
      <c r="DJ30" s="12"/>
      <c r="DK30" s="12"/>
      <c r="DL30" s="13"/>
      <c r="DM30" s="12"/>
      <c r="DN30" s="12"/>
      <c r="DO30" s="12"/>
      <c r="DP30" s="12"/>
      <c r="DQ30" s="12"/>
      <c r="DR30" s="12"/>
      <c r="DS30" s="16"/>
      <c r="DT30" s="12"/>
      <c r="DU30" s="12"/>
      <c r="DV30" s="12"/>
      <c r="DW30" s="12"/>
      <c r="DX30" s="12"/>
      <c r="DY30" s="13"/>
      <c r="DZ30" s="12"/>
      <c r="EA30" s="12"/>
      <c r="EB30" s="17"/>
      <c r="EC30" s="18"/>
      <c r="ED30" s="18"/>
      <c r="EE30" s="18"/>
      <c r="EF30" s="18"/>
      <c r="EG30" s="12"/>
      <c r="EH30" s="12"/>
      <c r="EI30" s="12"/>
      <c r="EJ30" s="12"/>
      <c r="EK30" s="12"/>
      <c r="EL30" s="13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3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3"/>
      <c r="FP30" s="12"/>
      <c r="FQ30" s="548">
        <f t="shared" si="78"/>
        <v>25</v>
      </c>
      <c r="FR30" s="618"/>
      <c r="FS30" s="619" t="s">
        <v>254</v>
      </c>
      <c r="FT30" s="620">
        <v>14037.86</v>
      </c>
      <c r="FU30" s="620">
        <v>121342.35</v>
      </c>
      <c r="FV30" s="620">
        <v>180824.25</v>
      </c>
      <c r="FW30" s="621">
        <f t="shared" si="110"/>
        <v>316204.45999999996</v>
      </c>
      <c r="FX30" s="620">
        <v>14037.86</v>
      </c>
      <c r="FY30" s="620">
        <v>121342.35</v>
      </c>
      <c r="FZ30" s="620">
        <v>180824.25</v>
      </c>
      <c r="GA30" s="620">
        <v>316204.45999999996</v>
      </c>
      <c r="GB30" s="620">
        <v>316204.45999999996</v>
      </c>
      <c r="GC30" s="16"/>
      <c r="GD30" s="346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3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3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3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3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3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623"/>
      <c r="JW30" s="624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624"/>
      <c r="KM30" s="623"/>
      <c r="KN30" s="624"/>
      <c r="KO30" s="204"/>
      <c r="KP30" s="204"/>
      <c r="KQ30" s="204"/>
      <c r="KR30" s="204"/>
      <c r="KS30" s="204"/>
      <c r="KT30" s="640"/>
      <c r="KU30" s="640"/>
      <c r="KV30" s="641"/>
      <c r="KW30" s="204"/>
      <c r="KX30" s="641"/>
      <c r="KY30" s="641"/>
      <c r="KZ30" s="204"/>
      <c r="LA30" s="12"/>
      <c r="LB30" s="12"/>
      <c r="LC30" s="12"/>
      <c r="LD30" s="12"/>
      <c r="LE30" s="16"/>
      <c r="LF30" s="12"/>
      <c r="LG30" s="12"/>
      <c r="LH30" s="12"/>
      <c r="LI30" s="12"/>
      <c r="LJ30" s="12"/>
      <c r="LK30" s="579"/>
      <c r="LL30" s="13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3"/>
      <c r="MA30" s="12"/>
      <c r="MB30" s="12"/>
      <c r="MC30" s="12"/>
      <c r="MD30" s="12"/>
      <c r="ME30" s="12"/>
      <c r="MF30" s="13"/>
      <c r="MG30" s="12"/>
      <c r="MH30" s="264">
        <f t="shared" si="79"/>
        <v>24</v>
      </c>
      <c r="MI30" s="631" t="s">
        <v>255</v>
      </c>
      <c r="MJ30" s="632">
        <f>MJ28-MJ29</f>
        <v>136408725.18370643</v>
      </c>
      <c r="MK30" s="633">
        <f t="shared" si="105"/>
        <v>6.099356383098927</v>
      </c>
      <c r="ML30" s="422"/>
      <c r="MM30" s="634">
        <f>MM28-MM29</f>
        <v>136408725.18370643</v>
      </c>
      <c r="MN30" s="633">
        <f>MM30/$MJ$34*100</f>
        <v>6.099356383098927</v>
      </c>
      <c r="MO30" s="12"/>
      <c r="MP30" s="13"/>
      <c r="MQ30" s="12"/>
      <c r="MR30" s="264">
        <f t="shared" si="80"/>
        <v>24</v>
      </c>
      <c r="MS30" s="631" t="s">
        <v>255</v>
      </c>
      <c r="MT30" s="635">
        <v>124884335.11392434</v>
      </c>
      <c r="MU30" s="632">
        <f>MJ30</f>
        <v>136408725.18370643</v>
      </c>
      <c r="MV30" s="430">
        <f t="shared" si="70"/>
        <v>11524390.069782093</v>
      </c>
      <c r="MW30" s="283">
        <f t="shared" si="71"/>
        <v>9.228050947518035E-2</v>
      </c>
      <c r="MX30" s="12"/>
      <c r="MY30" s="13"/>
      <c r="MZ30" s="12"/>
    </row>
    <row r="31" spans="1:364" ht="16.5" customHeight="1" x14ac:dyDescent="0.3">
      <c r="O31" s="642"/>
      <c r="P31" s="642"/>
      <c r="Q31" s="642"/>
      <c r="R31" s="642"/>
      <c r="AL31" s="409"/>
      <c r="AN31" s="544"/>
      <c r="AO31" s="545"/>
      <c r="AQ31" s="15"/>
      <c r="AT31" s="546"/>
      <c r="AU31" s="15"/>
      <c r="AW31" s="546"/>
      <c r="AX31" s="546"/>
      <c r="AY31" s="15"/>
      <c r="BA31" s="546"/>
      <c r="BB31" s="546"/>
      <c r="BC31" s="15"/>
      <c r="BE31" s="546"/>
      <c r="BF31" s="546"/>
      <c r="BG31" s="15"/>
      <c r="BI31" s="546"/>
      <c r="BJ31" s="546"/>
      <c r="BK31" s="15"/>
      <c r="BM31" s="546"/>
      <c r="BN31" s="546"/>
      <c r="BO31" s="15"/>
      <c r="BQ31" s="546"/>
      <c r="BR31" s="546"/>
      <c r="BS31" s="15"/>
      <c r="BU31" s="546"/>
      <c r="BV31" s="546"/>
      <c r="BW31" s="546"/>
      <c r="BX31" s="546"/>
      <c r="BY31" s="546"/>
      <c r="BZ31" s="546"/>
      <c r="CA31" s="546"/>
      <c r="CB31" s="546"/>
      <c r="CC31" s="546"/>
      <c r="CD31" s="546"/>
      <c r="CE31" s="546"/>
      <c r="CG31" s="546"/>
      <c r="CH31" s="546"/>
      <c r="CI31" s="546"/>
      <c r="CJ31" s="546"/>
      <c r="CK31" s="546"/>
      <c r="CL31" s="546"/>
      <c r="CM31" s="546"/>
      <c r="FQ31" s="264">
        <f t="shared" si="78"/>
        <v>26</v>
      </c>
      <c r="FR31" s="292"/>
      <c r="FS31" s="293" t="s">
        <v>256</v>
      </c>
      <c r="FT31" s="273">
        <v>264427.92949999997</v>
      </c>
      <c r="FU31" s="273">
        <v>297615.01999999996</v>
      </c>
      <c r="FV31" s="273">
        <v>174342.09999999998</v>
      </c>
      <c r="FW31" s="270">
        <f t="shared" si="110"/>
        <v>736385.04949999996</v>
      </c>
      <c r="FX31" s="273">
        <v>265189.74196666665</v>
      </c>
      <c r="FY31" s="273">
        <v>297615.01999999996</v>
      </c>
      <c r="FZ31" s="273">
        <v>174342.09999999998</v>
      </c>
      <c r="GA31" s="273">
        <v>737146.86196666653</v>
      </c>
      <c r="GB31" s="273">
        <v>737146.86196666653</v>
      </c>
      <c r="GC31" s="16"/>
      <c r="GD31" s="346"/>
      <c r="IR31" s="12"/>
      <c r="IT31" s="12"/>
      <c r="KV31" s="12"/>
      <c r="KX31" s="12"/>
      <c r="KY31" s="12"/>
      <c r="LK31" s="579"/>
      <c r="MH31" s="207">
        <f t="shared" si="79"/>
        <v>25</v>
      </c>
      <c r="MI31" s="614" t="s">
        <v>257</v>
      </c>
      <c r="MJ31" s="614">
        <f>'Phase I Schedules'!KC26+'Phase I Schedules'!KG26+MJ11</f>
        <v>131252648.7122599</v>
      </c>
      <c r="MK31" s="615">
        <f t="shared" si="105"/>
        <v>5.8688084625351182</v>
      </c>
      <c r="ML31" s="29"/>
      <c r="MM31" s="616"/>
      <c r="MN31" s="643"/>
      <c r="MR31" s="433">
        <f t="shared" si="80"/>
        <v>25</v>
      </c>
      <c r="MS31" s="614" t="str">
        <f>MI31</f>
        <v>Total Revenue at Current Rates</v>
      </c>
      <c r="MT31" s="617">
        <v>113922778.03156425</v>
      </c>
      <c r="MU31" s="614">
        <f>MJ31</f>
        <v>131252648.7122599</v>
      </c>
      <c r="MV31" s="614">
        <f t="shared" si="70"/>
        <v>17329870.680695653</v>
      </c>
      <c r="MW31" s="543">
        <f t="shared" si="71"/>
        <v>0.15211945302013366</v>
      </c>
    </row>
    <row r="32" spans="1:364" x14ac:dyDescent="0.3">
      <c r="AL32" s="409"/>
      <c r="AN32" s="378"/>
      <c r="AT32" s="644"/>
      <c r="AW32" s="644"/>
      <c r="AX32" s="279"/>
      <c r="BA32" s="644"/>
      <c r="BB32" s="279"/>
      <c r="BE32" s="644"/>
      <c r="BF32" s="279"/>
      <c r="BI32" s="644"/>
      <c r="BJ32" s="279"/>
      <c r="BM32" s="644"/>
      <c r="BN32" s="279"/>
      <c r="BQ32" s="644"/>
      <c r="BR32" s="279"/>
      <c r="BU32" s="644"/>
      <c r="BV32" s="279"/>
      <c r="BW32" s="279"/>
      <c r="BX32" s="279"/>
      <c r="BY32" s="279"/>
      <c r="BZ32" s="279"/>
      <c r="CA32" s="279"/>
      <c r="CB32" s="279"/>
      <c r="CC32" s="279"/>
      <c r="CD32" s="279"/>
      <c r="CE32" s="279"/>
      <c r="CG32" s="644"/>
      <c r="CH32" s="279"/>
      <c r="CI32" s="279"/>
      <c r="CJ32" s="279"/>
      <c r="CK32" s="279"/>
      <c r="CL32" s="279"/>
      <c r="CM32" s="279"/>
      <c r="FQ32" s="645">
        <f t="shared" si="78"/>
        <v>27</v>
      </c>
      <c r="FR32" s="646"/>
      <c r="FS32" s="647" t="s">
        <v>224</v>
      </c>
      <c r="FT32" s="648">
        <f>SUM(FT27:FT31)</f>
        <v>394260.8395</v>
      </c>
      <c r="FU32" s="648">
        <f>SUM(FU27:FU31)</f>
        <v>749315.3899999999</v>
      </c>
      <c r="FV32" s="648">
        <f>SUM(FV27:FV31)</f>
        <v>496379.5</v>
      </c>
      <c r="FW32" s="649">
        <f t="shared" si="110"/>
        <v>1639955.7294999999</v>
      </c>
      <c r="FX32" s="648">
        <v>325455.65196666669</v>
      </c>
      <c r="FY32" s="648">
        <v>575461.60999999987</v>
      </c>
      <c r="FZ32" s="648">
        <v>476589.49999999994</v>
      </c>
      <c r="GA32" s="648">
        <v>1377506.7619666664</v>
      </c>
      <c r="GB32" s="648">
        <v>1308239.6810246534</v>
      </c>
      <c r="GC32" s="16"/>
      <c r="GD32" s="346"/>
      <c r="IR32" s="12"/>
      <c r="IT32" s="12"/>
      <c r="JW32" s="204"/>
      <c r="KL32" s="204"/>
      <c r="KM32" s="650"/>
      <c r="KN32" s="204"/>
      <c r="KV32" s="12"/>
      <c r="KX32" s="12"/>
      <c r="KY32" s="12"/>
      <c r="LK32" s="279"/>
      <c r="MH32" s="386">
        <f t="shared" si="79"/>
        <v>26</v>
      </c>
      <c r="MI32" s="651" t="s">
        <v>258</v>
      </c>
      <c r="MJ32" s="651">
        <f>MJ30/MJ9-1</f>
        <v>8.0979175596330055E-2</v>
      </c>
      <c r="MK32" s="651"/>
      <c r="ML32" s="393"/>
      <c r="MM32" s="652">
        <f>(MM9)/MM30-1</f>
        <v>0</v>
      </c>
      <c r="MN32" s="651"/>
      <c r="MR32" s="386">
        <f t="shared" si="80"/>
        <v>26</v>
      </c>
      <c r="MS32" s="651" t="str">
        <f>MI32</f>
        <v>Proposed Rate Increase</v>
      </c>
      <c r="MT32" s="653">
        <v>0.14743652719872169</v>
      </c>
      <c r="MU32" s="651">
        <f>MJ32</f>
        <v>8.0979175596330055E-2</v>
      </c>
      <c r="MV32" s="651">
        <f t="shared" si="70"/>
        <v>-6.6457351602391634E-2</v>
      </c>
      <c r="MW32" s="654"/>
    </row>
    <row r="33" spans="6:361" ht="17.100000000000001" customHeight="1" x14ac:dyDescent="0.3">
      <c r="AL33" s="409"/>
      <c r="AN33" s="378"/>
      <c r="AT33" s="644"/>
      <c r="AW33" s="644"/>
      <c r="AX33" s="279"/>
      <c r="BA33" s="644"/>
      <c r="BB33" s="279"/>
      <c r="BE33" s="644"/>
      <c r="BF33" s="279"/>
      <c r="BI33" s="644"/>
      <c r="BJ33" s="279"/>
      <c r="BM33" s="644"/>
      <c r="BN33" s="279"/>
      <c r="BQ33" s="644"/>
      <c r="BR33" s="279"/>
      <c r="BU33" s="644"/>
      <c r="BV33" s="279"/>
      <c r="BW33" s="279"/>
      <c r="BX33" s="279"/>
      <c r="BY33" s="279"/>
      <c r="BZ33" s="279"/>
      <c r="CA33" s="279"/>
      <c r="CB33" s="279"/>
      <c r="CC33" s="279"/>
      <c r="CD33" s="279"/>
      <c r="CE33" s="279"/>
      <c r="CG33" s="644"/>
      <c r="CH33" s="279"/>
      <c r="CI33" s="279"/>
      <c r="CJ33" s="279"/>
      <c r="CK33" s="279"/>
      <c r="CL33" s="279"/>
      <c r="CM33" s="279"/>
      <c r="EL33" s="655"/>
      <c r="FQ33" s="264">
        <f t="shared" si="78"/>
        <v>28</v>
      </c>
      <c r="FR33" s="422" t="s">
        <v>259</v>
      </c>
      <c r="FS33" s="423"/>
      <c r="FT33" s="462"/>
      <c r="FU33" s="462"/>
      <c r="FV33" s="462"/>
      <c r="FW33" s="463"/>
      <c r="FX33" s="462"/>
      <c r="FY33" s="462"/>
      <c r="FZ33" s="462"/>
      <c r="GA33" s="462"/>
      <c r="GB33" s="462"/>
      <c r="GD33" s="346"/>
      <c r="IR33" s="12"/>
      <c r="IT33" s="12"/>
      <c r="JV33" s="656"/>
      <c r="JW33" s="657"/>
      <c r="KL33" s="657"/>
      <c r="KM33" s="656"/>
      <c r="KN33" s="657"/>
      <c r="KV33" s="12"/>
      <c r="KX33" s="12"/>
      <c r="KY33" s="12"/>
      <c r="MH33" s="482" t="s">
        <v>226</v>
      </c>
      <c r="MI33" s="482"/>
      <c r="MJ33" s="482"/>
      <c r="MK33" s="482"/>
      <c r="ML33" s="482"/>
      <c r="MM33" s="482"/>
      <c r="MN33" s="482"/>
      <c r="MR33" s="482" t="s">
        <v>226</v>
      </c>
      <c r="MS33" s="406"/>
      <c r="MT33" s="406"/>
      <c r="MU33" s="406"/>
      <c r="MV33" s="658"/>
      <c r="MW33" s="658"/>
    </row>
    <row r="34" spans="6:361" ht="17.850000000000001" customHeight="1" x14ac:dyDescent="0.3">
      <c r="AL34" s="409"/>
      <c r="AN34" s="378"/>
      <c r="AT34" s="644"/>
      <c r="AW34" s="644"/>
      <c r="AX34" s="279"/>
      <c r="BA34" s="644"/>
      <c r="BB34" s="279"/>
      <c r="BE34" s="644"/>
      <c r="BF34" s="279"/>
      <c r="BI34" s="644"/>
      <c r="BJ34" s="279"/>
      <c r="BM34" s="644"/>
      <c r="BN34" s="279"/>
      <c r="BQ34" s="644"/>
      <c r="BR34" s="279"/>
      <c r="BU34" s="644"/>
      <c r="BV34" s="279"/>
      <c r="BW34" s="279"/>
      <c r="BX34" s="279"/>
      <c r="BY34" s="279"/>
      <c r="BZ34" s="279"/>
      <c r="CA34" s="279"/>
      <c r="CB34" s="279"/>
      <c r="CC34" s="279"/>
      <c r="CD34" s="279"/>
      <c r="CE34" s="279"/>
      <c r="CG34" s="644"/>
      <c r="CH34" s="279"/>
      <c r="CI34" s="279"/>
      <c r="CJ34" s="279"/>
      <c r="CK34" s="279"/>
      <c r="CL34" s="279"/>
      <c r="CM34" s="279"/>
      <c r="FQ34" s="548">
        <f t="shared" si="78"/>
        <v>29</v>
      </c>
      <c r="FR34" s="618"/>
      <c r="FS34" s="619" t="s">
        <v>260</v>
      </c>
      <c r="FT34" s="620">
        <v>24802.720000000001</v>
      </c>
      <c r="FU34" s="620">
        <v>101294.51</v>
      </c>
      <c r="FV34" s="620">
        <v>943541.99</v>
      </c>
      <c r="FW34" s="621">
        <f>FT34+FV34+FU34</f>
        <v>1069639.22</v>
      </c>
      <c r="FX34" s="620">
        <v>24802.720000000001</v>
      </c>
      <c r="FY34" s="620">
        <v>101294.51</v>
      </c>
      <c r="FZ34" s="620">
        <v>943541.99</v>
      </c>
      <c r="GA34" s="620">
        <v>1069639.22</v>
      </c>
      <c r="GB34" s="620">
        <v>840826.55264490051</v>
      </c>
      <c r="GC34" s="16"/>
      <c r="GD34" s="346"/>
      <c r="IR34" s="12"/>
      <c r="IT34" s="12"/>
      <c r="JV34" s="65"/>
      <c r="JW34" s="24"/>
      <c r="JX34" s="24"/>
      <c r="JY34" s="24"/>
      <c r="JZ34" s="24"/>
      <c r="KA34" s="24"/>
      <c r="KB34" s="24"/>
      <c r="KD34" s="624"/>
      <c r="KE34" s="624"/>
      <c r="KF34" s="624"/>
      <c r="KG34" s="624"/>
      <c r="KH34" s="624"/>
      <c r="KI34" s="624"/>
      <c r="KJ34" s="24"/>
      <c r="KK34" s="24"/>
      <c r="KL34" s="24"/>
      <c r="KM34" s="25"/>
      <c r="KN34" s="24"/>
      <c r="KV34" s="12"/>
      <c r="KX34" s="12"/>
      <c r="KY34" s="12"/>
      <c r="MH34" s="207">
        <f>MH32+1</f>
        <v>27</v>
      </c>
      <c r="MI34" s="659" t="s">
        <v>119</v>
      </c>
      <c r="MJ34" s="867">
        <f>JP26</f>
        <v>2236444579</v>
      </c>
      <c r="MK34" s="867"/>
      <c r="ML34" s="660"/>
      <c r="MM34" s="661"/>
      <c r="MN34" s="660">
        <f>MJ34</f>
        <v>2236444579</v>
      </c>
      <c r="MR34" s="207">
        <f>MR32+1</f>
        <v>27</v>
      </c>
      <c r="MS34" s="659" t="str">
        <f>MI34</f>
        <v>Target Year Volume</v>
      </c>
      <c r="MT34" s="662">
        <v>2195120047</v>
      </c>
      <c r="MU34" s="660">
        <f>MJ34</f>
        <v>2236444579</v>
      </c>
      <c r="MV34" s="660"/>
      <c r="MW34" s="663"/>
    </row>
    <row r="35" spans="6:361" ht="17.25" thickBot="1" x14ac:dyDescent="0.35">
      <c r="AL35" s="409"/>
      <c r="AN35" s="378"/>
      <c r="AT35" s="644"/>
      <c r="AW35" s="644"/>
      <c r="AX35" s="279"/>
      <c r="BA35" s="644"/>
      <c r="BB35" s="279"/>
      <c r="BE35" s="644"/>
      <c r="BF35" s="279"/>
      <c r="BI35" s="644"/>
      <c r="BJ35" s="279"/>
      <c r="BM35" s="644"/>
      <c r="BN35" s="279"/>
      <c r="BQ35" s="644"/>
      <c r="BR35" s="279"/>
      <c r="BU35" s="644"/>
      <c r="BV35" s="279"/>
      <c r="BW35" s="279"/>
      <c r="BX35" s="279"/>
      <c r="BY35" s="279"/>
      <c r="BZ35" s="279"/>
      <c r="CA35" s="279"/>
      <c r="CB35" s="279"/>
      <c r="CC35" s="279"/>
      <c r="CD35" s="279"/>
      <c r="CE35" s="279"/>
      <c r="CG35" s="644"/>
      <c r="CH35" s="279"/>
      <c r="CI35" s="279"/>
      <c r="CJ35" s="279"/>
      <c r="CK35" s="279"/>
      <c r="CL35" s="279"/>
      <c r="CM35" s="279"/>
      <c r="FQ35" s="264">
        <f t="shared" si="78"/>
        <v>30</v>
      </c>
      <c r="FR35" s="292"/>
      <c r="FS35" s="293" t="s">
        <v>261</v>
      </c>
      <c r="FT35" s="273">
        <v>30346.77</v>
      </c>
      <c r="FU35" s="273">
        <v>168058</v>
      </c>
      <c r="FV35" s="273">
        <v>639692.55000000005</v>
      </c>
      <c r="FW35" s="270">
        <f>FT35+FV35+FU35</f>
        <v>838097.32000000007</v>
      </c>
      <c r="FX35" s="273">
        <v>30346.77</v>
      </c>
      <c r="FY35" s="273">
        <v>168058</v>
      </c>
      <c r="FZ35" s="273">
        <v>639692.55000000005</v>
      </c>
      <c r="GA35" s="273">
        <v>838097.32000000007</v>
      </c>
      <c r="GB35" s="273">
        <v>838097.32000000007</v>
      </c>
      <c r="GD35" s="346"/>
      <c r="IR35" s="12"/>
      <c r="IT35" s="12"/>
      <c r="JW35" s="204"/>
      <c r="JX35" s="204"/>
      <c r="JY35" s="204"/>
      <c r="JZ35" s="204"/>
      <c r="KA35" s="204"/>
      <c r="KB35" s="204"/>
      <c r="KD35" s="624"/>
      <c r="KE35" s="624"/>
      <c r="KF35" s="624"/>
      <c r="KG35" s="624"/>
      <c r="KH35" s="624"/>
      <c r="KI35" s="624"/>
      <c r="KJ35" s="204"/>
      <c r="KK35" s="204"/>
      <c r="KL35" s="204"/>
      <c r="KM35" s="650"/>
      <c r="KN35" s="204"/>
      <c r="KV35" s="12"/>
      <c r="KX35" s="12"/>
      <c r="KY35" s="12"/>
      <c r="MH35" s="360">
        <f>MH34+1</f>
        <v>28</v>
      </c>
      <c r="MI35" s="665" t="s">
        <v>233</v>
      </c>
      <c r="MJ35" s="863">
        <f>JN26</f>
        <v>220</v>
      </c>
      <c r="MK35" s="863"/>
      <c r="ML35" s="666"/>
      <c r="MM35" s="667"/>
      <c r="MN35" s="666">
        <f>MJ35</f>
        <v>220</v>
      </c>
      <c r="MR35" s="360">
        <f>MR34+1</f>
        <v>28</v>
      </c>
      <c r="MS35" s="665" t="str">
        <f>MI35</f>
        <v>Number of Depots</v>
      </c>
      <c r="MT35" s="668">
        <v>219</v>
      </c>
      <c r="MU35" s="666">
        <f>MJ35</f>
        <v>220</v>
      </c>
      <c r="MV35" s="669"/>
      <c r="MW35" s="670"/>
    </row>
    <row r="36" spans="6:361" x14ac:dyDescent="0.3">
      <c r="AN36" s="544"/>
      <c r="FQ36" s="207">
        <f t="shared" si="78"/>
        <v>31</v>
      </c>
      <c r="FR36" s="344"/>
      <c r="FS36" s="345" t="s">
        <v>262</v>
      </c>
      <c r="FT36" s="214">
        <v>84212.61</v>
      </c>
      <c r="FU36" s="214">
        <v>133351.71000000002</v>
      </c>
      <c r="FV36" s="214">
        <v>790170.63419999997</v>
      </c>
      <c r="FW36" s="215">
        <f>FT36+FV36+FU36</f>
        <v>1007734.9542</v>
      </c>
      <c r="FX36" s="214">
        <v>84212.61</v>
      </c>
      <c r="FY36" s="214">
        <v>133351.71000000002</v>
      </c>
      <c r="FZ36" s="214">
        <v>790170.63419999997</v>
      </c>
      <c r="GA36" s="214">
        <v>1007734.9541999999</v>
      </c>
      <c r="GB36" s="214">
        <v>1007734.9541999999</v>
      </c>
      <c r="GD36" s="346"/>
      <c r="IR36" s="12"/>
      <c r="IT36" s="12"/>
      <c r="JV36" s="671"/>
      <c r="JW36" s="664"/>
      <c r="JX36" s="664"/>
      <c r="JY36" s="664"/>
      <c r="JZ36" s="664"/>
      <c r="KA36" s="664"/>
      <c r="KB36" s="664"/>
      <c r="KD36" s="624"/>
      <c r="KE36" s="624"/>
      <c r="KF36" s="624"/>
      <c r="KG36" s="624"/>
      <c r="KH36" s="624"/>
      <c r="KI36" s="624"/>
      <c r="KJ36" s="664"/>
      <c r="KK36" s="664"/>
      <c r="KL36" s="664"/>
      <c r="KM36" s="672"/>
      <c r="KN36" s="664"/>
      <c r="KV36" s="12"/>
      <c r="KX36" s="12"/>
      <c r="KY36" s="12"/>
    </row>
    <row r="37" spans="6:361" ht="15.75" customHeight="1" x14ac:dyDescent="0.3">
      <c r="AL37" s="409"/>
      <c r="AN37" s="378"/>
      <c r="AP37" s="673"/>
      <c r="AQ37" s="15"/>
      <c r="AT37" s="252"/>
      <c r="AV37" s="674"/>
      <c r="AW37" s="252"/>
      <c r="AX37" s="279"/>
      <c r="AZ37" s="674"/>
      <c r="BA37" s="252"/>
      <c r="BB37" s="279"/>
      <c r="BD37" s="674"/>
      <c r="BE37" s="252"/>
      <c r="BF37" s="279"/>
      <c r="BH37" s="674"/>
      <c r="BI37" s="252"/>
      <c r="BJ37" s="279"/>
      <c r="BL37" s="674"/>
      <c r="BM37" s="252"/>
      <c r="BN37" s="279"/>
      <c r="BP37" s="674"/>
      <c r="BQ37" s="252"/>
      <c r="BR37" s="279"/>
      <c r="BT37" s="674"/>
      <c r="BU37" s="252"/>
      <c r="BV37" s="279"/>
      <c r="BW37" s="279"/>
      <c r="BX37" s="279"/>
      <c r="BY37" s="279"/>
      <c r="BZ37" s="279"/>
      <c r="CA37" s="279"/>
      <c r="CB37" s="279"/>
      <c r="CC37" s="279"/>
      <c r="CD37" s="279"/>
      <c r="CE37" s="279"/>
      <c r="CF37" s="674"/>
      <c r="CG37" s="252"/>
      <c r="CH37" s="279"/>
      <c r="CI37" s="279"/>
      <c r="CJ37" s="279"/>
      <c r="CK37" s="279"/>
      <c r="CL37" s="279"/>
      <c r="CM37" s="279"/>
      <c r="FQ37" s="400">
        <f t="shared" si="78"/>
        <v>32</v>
      </c>
      <c r="FR37" s="675"/>
      <c r="FS37" s="676" t="s">
        <v>224</v>
      </c>
      <c r="FT37" s="430">
        <f>SUM(FT34:FT36)</f>
        <v>139362.1</v>
      </c>
      <c r="FU37" s="430">
        <f>SUM(FU34:FU36)</f>
        <v>402704.22000000003</v>
      </c>
      <c r="FV37" s="430">
        <f>SUM(FV34:FV36)</f>
        <v>2373405.1742000002</v>
      </c>
      <c r="FW37" s="455">
        <f>FT37+FV37+FU37</f>
        <v>2915471.4942000005</v>
      </c>
      <c r="FX37" s="430">
        <v>139362.1</v>
      </c>
      <c r="FY37" s="430">
        <v>402704.22000000003</v>
      </c>
      <c r="FZ37" s="430">
        <v>2373405.1742000002</v>
      </c>
      <c r="GA37" s="430">
        <v>2915471.4942000001</v>
      </c>
      <c r="GB37" s="430">
        <v>2686658.8268449004</v>
      </c>
      <c r="IR37" s="12"/>
      <c r="IT37" s="12"/>
      <c r="JV37" s="671"/>
      <c r="JW37" s="664"/>
      <c r="JX37" s="664"/>
      <c r="JY37" s="664"/>
      <c r="JZ37" s="664"/>
      <c r="KA37" s="664"/>
      <c r="KB37" s="664"/>
      <c r="KD37" s="624"/>
      <c r="KE37" s="624"/>
      <c r="KF37" s="624"/>
      <c r="KG37" s="624"/>
      <c r="KH37" s="624"/>
      <c r="KI37" s="624"/>
      <c r="KJ37" s="664"/>
      <c r="KK37" s="664"/>
      <c r="KL37" s="664"/>
      <c r="KM37" s="672"/>
      <c r="KN37" s="664"/>
      <c r="KV37" s="12"/>
      <c r="KX37" s="12"/>
      <c r="KY37" s="12"/>
      <c r="MH37" s="12"/>
      <c r="MI37" s="12"/>
    </row>
    <row r="38" spans="6:361" ht="17.25" thickBot="1" x14ac:dyDescent="0.35">
      <c r="AL38" s="409"/>
      <c r="AN38" s="378"/>
      <c r="AQ38" s="15"/>
      <c r="BU38" s="275"/>
      <c r="CG38" s="275"/>
      <c r="FQ38" s="412">
        <f t="shared" si="78"/>
        <v>33</v>
      </c>
      <c r="FR38" s="677"/>
      <c r="FS38" s="678" t="s">
        <v>72</v>
      </c>
      <c r="FT38" s="414">
        <f>FT20+FT25+FT32+FT37</f>
        <v>2239865.872</v>
      </c>
      <c r="FU38" s="414">
        <f>FU20+FU25+FU32+FU37</f>
        <v>3972299.9721000004</v>
      </c>
      <c r="FV38" s="414">
        <f>FV20+FV25+FV32+FV37</f>
        <v>7893514.8605999993</v>
      </c>
      <c r="FW38" s="415">
        <f>FT38+FV38+FU38</f>
        <v>14105680.704700001</v>
      </c>
      <c r="FX38" s="414">
        <v>2230635.0205999999</v>
      </c>
      <c r="FY38" s="414">
        <v>3743731.0011000005</v>
      </c>
      <c r="FZ38" s="414">
        <v>7975808.900766667</v>
      </c>
      <c r="GA38" s="414">
        <v>13950174.922466666</v>
      </c>
      <c r="GB38" s="414">
        <v>13652095.174169553</v>
      </c>
      <c r="GD38" s="346"/>
      <c r="IR38" s="12"/>
      <c r="IT38" s="12"/>
      <c r="JV38" s="671"/>
      <c r="JW38" s="664"/>
      <c r="JX38" s="664"/>
      <c r="JY38" s="664"/>
      <c r="JZ38" s="664"/>
      <c r="KA38" s="664"/>
      <c r="KB38" s="664"/>
      <c r="KD38" s="624"/>
      <c r="KE38" s="624"/>
      <c r="KF38" s="624"/>
      <c r="KG38" s="624"/>
      <c r="KH38" s="624"/>
      <c r="KI38" s="624"/>
      <c r="KJ38" s="664"/>
      <c r="KK38" s="664"/>
      <c r="KL38" s="664"/>
      <c r="KM38" s="672"/>
      <c r="KN38" s="664"/>
      <c r="KV38" s="12"/>
      <c r="KX38" s="12"/>
      <c r="KY38" s="12"/>
      <c r="MH38" s="12"/>
      <c r="MI38" s="12"/>
    </row>
    <row r="39" spans="6:361" x14ac:dyDescent="0.3">
      <c r="IR39" s="12"/>
      <c r="IT39" s="12"/>
      <c r="JV39" s="671"/>
      <c r="JW39" s="664"/>
      <c r="JX39" s="664"/>
      <c r="JY39" s="664"/>
      <c r="JZ39" s="664"/>
      <c r="KA39" s="664"/>
      <c r="KB39" s="664"/>
      <c r="KD39" s="624"/>
      <c r="KE39" s="624"/>
      <c r="KF39" s="624"/>
      <c r="KG39" s="624"/>
      <c r="KH39" s="624"/>
      <c r="KI39" s="624"/>
      <c r="KJ39" s="664"/>
      <c r="KK39" s="664"/>
      <c r="KL39" s="664"/>
      <c r="KM39" s="672"/>
      <c r="KN39" s="664"/>
      <c r="KV39" s="12"/>
      <c r="KX39" s="12"/>
      <c r="KY39" s="12"/>
      <c r="LR39" s="679"/>
      <c r="LS39" s="679"/>
      <c r="LT39" s="679"/>
      <c r="LU39" s="679"/>
      <c r="MH39" s="12"/>
      <c r="MI39" s="12"/>
    </row>
    <row r="40" spans="6:361" x14ac:dyDescent="0.3">
      <c r="AL40" s="409"/>
      <c r="IR40" s="12"/>
      <c r="IT40" s="12"/>
      <c r="KD40" s="624"/>
      <c r="KE40" s="624"/>
      <c r="KF40" s="624"/>
      <c r="KG40" s="624"/>
      <c r="KH40" s="624"/>
      <c r="KI40" s="624"/>
      <c r="KV40" s="12"/>
      <c r="KX40" s="12"/>
      <c r="KY40" s="12"/>
      <c r="LR40" s="679"/>
      <c r="LS40" s="679"/>
      <c r="LT40" s="679"/>
      <c r="LU40" s="679"/>
      <c r="MH40" s="12"/>
      <c r="MI40" s="12"/>
    </row>
    <row r="41" spans="6:361" x14ac:dyDescent="0.3">
      <c r="AL41" s="681"/>
      <c r="IR41" s="12"/>
      <c r="IT41" s="12"/>
      <c r="KD41" s="624"/>
      <c r="KE41" s="624"/>
      <c r="KF41" s="624"/>
      <c r="KG41" s="624"/>
      <c r="KH41" s="624"/>
      <c r="KI41" s="624"/>
      <c r="KV41" s="12"/>
      <c r="KX41" s="12"/>
      <c r="KY41" s="12"/>
      <c r="LR41" s="679"/>
      <c r="LS41" s="682"/>
      <c r="LT41" s="683"/>
      <c r="LU41" s="684"/>
      <c r="MH41" s="12"/>
      <c r="MI41" s="12"/>
    </row>
    <row r="42" spans="6:361" x14ac:dyDescent="0.3">
      <c r="AL42" s="409"/>
      <c r="KD42" s="624"/>
      <c r="KE42" s="624"/>
      <c r="KF42" s="624"/>
      <c r="KG42" s="624"/>
      <c r="KH42" s="624"/>
      <c r="KI42" s="624"/>
      <c r="KV42" s="12"/>
      <c r="KX42" s="12"/>
      <c r="KY42" s="12"/>
      <c r="LR42" s="679"/>
      <c r="LS42" s="683"/>
      <c r="LT42" s="683"/>
      <c r="LU42" s="684"/>
      <c r="MH42" s="12"/>
      <c r="MI42" s="12"/>
    </row>
    <row r="43" spans="6:361" x14ac:dyDescent="0.3">
      <c r="KD43" s="624"/>
      <c r="KE43" s="624"/>
      <c r="KF43" s="624"/>
      <c r="KG43" s="624"/>
      <c r="KH43" s="624"/>
      <c r="KI43" s="624"/>
      <c r="LR43" s="679"/>
      <c r="LS43" s="682"/>
      <c r="LT43" s="682"/>
      <c r="LU43" s="684"/>
      <c r="MH43" s="12"/>
      <c r="MI43" s="12"/>
    </row>
    <row r="44" spans="6:361" x14ac:dyDescent="0.3">
      <c r="F44" s="464"/>
      <c r="KD44" s="624"/>
      <c r="KE44" s="624"/>
      <c r="KF44" s="624"/>
      <c r="KG44" s="624"/>
      <c r="KH44" s="624"/>
      <c r="KI44" s="624"/>
      <c r="LR44" s="679"/>
      <c r="LS44" s="679"/>
      <c r="LT44" s="679"/>
      <c r="LU44" s="684"/>
      <c r="MH44" s="12"/>
      <c r="MI44" s="12"/>
      <c r="MS44" s="33"/>
    </row>
    <row r="45" spans="6:361" x14ac:dyDescent="0.3">
      <c r="KD45" s="624"/>
      <c r="KE45" s="624"/>
      <c r="KF45" s="624"/>
      <c r="KG45" s="624"/>
      <c r="KH45" s="624"/>
      <c r="KI45" s="624"/>
      <c r="LR45" s="679"/>
      <c r="LS45" s="679"/>
      <c r="LT45" s="679"/>
      <c r="LU45" s="679"/>
      <c r="MH45" s="12"/>
      <c r="MI45" s="12"/>
    </row>
    <row r="46" spans="6:361" x14ac:dyDescent="0.3">
      <c r="KD46" s="624"/>
      <c r="KE46" s="624"/>
      <c r="KF46" s="624"/>
      <c r="KG46" s="624"/>
      <c r="KH46" s="624"/>
      <c r="KI46" s="624"/>
      <c r="MH46" s="680"/>
      <c r="MJ46" s="273"/>
      <c r="MK46" s="273"/>
      <c r="ML46" s="273"/>
      <c r="MM46" s="273"/>
      <c r="MS46" s="33"/>
    </row>
    <row r="47" spans="6:361" x14ac:dyDescent="0.3">
      <c r="KD47" s="624"/>
      <c r="KE47" s="624"/>
      <c r="KF47" s="624"/>
      <c r="KG47" s="624"/>
      <c r="KH47" s="624"/>
      <c r="KI47" s="624"/>
      <c r="MJ47" s="273"/>
      <c r="MK47" s="685"/>
      <c r="MT47" s="579"/>
    </row>
    <row r="48" spans="6:361" x14ac:dyDescent="0.3">
      <c r="KD48" s="624"/>
      <c r="KE48" s="624"/>
      <c r="KF48" s="624"/>
      <c r="KG48" s="624"/>
      <c r="KH48" s="624"/>
      <c r="KI48" s="624"/>
      <c r="MJ48" s="686"/>
      <c r="MK48" s="687"/>
      <c r="MR48" s="8"/>
      <c r="MT48" s="579"/>
    </row>
    <row r="49" spans="290:364" x14ac:dyDescent="0.3">
      <c r="KD49" s="624"/>
      <c r="KE49" s="624"/>
      <c r="KF49" s="624"/>
      <c r="KG49" s="624"/>
      <c r="KH49" s="624"/>
      <c r="KI49" s="624"/>
      <c r="MJ49" s="273"/>
      <c r="MK49" s="685"/>
      <c r="MT49" s="579"/>
    </row>
    <row r="50" spans="290:364" x14ac:dyDescent="0.3">
      <c r="KD50" s="624"/>
      <c r="KE50" s="624"/>
      <c r="LZ50" s="263"/>
      <c r="MA50" s="8"/>
      <c r="ME50" s="8"/>
      <c r="MF50" s="263"/>
      <c r="MG50" s="8"/>
      <c r="MJ50" s="686"/>
      <c r="MK50" s="687"/>
      <c r="MR50" s="8"/>
      <c r="MT50" s="579"/>
      <c r="MY50" s="263"/>
      <c r="MZ50" s="8"/>
    </row>
    <row r="51" spans="290:364" x14ac:dyDescent="0.3">
      <c r="MB51" s="8"/>
      <c r="MC51" s="8"/>
      <c r="MD51" s="8"/>
      <c r="MJ51" s="273"/>
      <c r="MK51" s="685"/>
      <c r="MQ51" s="8"/>
    </row>
    <row r="52" spans="290:364" x14ac:dyDescent="0.3">
      <c r="LZ52" s="263"/>
      <c r="MA52" s="8"/>
      <c r="ME52" s="8"/>
      <c r="MF52" s="263"/>
      <c r="MG52" s="8"/>
      <c r="MJ52" s="686"/>
      <c r="MK52" s="687"/>
      <c r="MP52" s="263"/>
      <c r="MY52" s="263"/>
      <c r="MZ52" s="8"/>
    </row>
    <row r="53" spans="290:364" x14ac:dyDescent="0.3">
      <c r="MB53" s="8"/>
      <c r="MC53" s="8"/>
      <c r="MD53" s="8"/>
      <c r="MJ53" s="273"/>
      <c r="MK53" s="685"/>
      <c r="MQ53" s="8"/>
    </row>
    <row r="54" spans="290:364" x14ac:dyDescent="0.3">
      <c r="MJ54" s="273"/>
      <c r="MK54" s="685"/>
      <c r="MP54" s="263"/>
    </row>
  </sheetData>
  <mergeCells count="107">
    <mergeCell ref="MH1:MN2"/>
    <mergeCell ref="MR1:MW2"/>
    <mergeCell ref="F3:G3"/>
    <mergeCell ref="H3:J3"/>
    <mergeCell ref="K3:M3"/>
    <mergeCell ref="N3:P3"/>
    <mergeCell ref="Q3:R3"/>
    <mergeCell ref="GR1:HC1"/>
    <mergeCell ref="HF1:HQ2"/>
    <mergeCell ref="HU1:IG2"/>
    <mergeCell ref="IK1:JG2"/>
    <mergeCell ref="JK1:JT2"/>
    <mergeCell ref="JX1:KK2"/>
    <mergeCell ref="DM1:DX1"/>
    <mergeCell ref="DZ1:EK1"/>
    <mergeCell ref="EN1:EW1"/>
    <mergeCell ref="FA1:FM1"/>
    <mergeCell ref="FP1:GC1"/>
    <mergeCell ref="GE1:GP1"/>
    <mergeCell ref="A1:R1"/>
    <mergeCell ref="W1:AA1"/>
    <mergeCell ref="AF1:AJ1"/>
    <mergeCell ref="AM1:CM1"/>
    <mergeCell ref="CP1:DA1"/>
    <mergeCell ref="AS3:AT3"/>
    <mergeCell ref="AV3:AX3"/>
    <mergeCell ref="AZ3:BB3"/>
    <mergeCell ref="BD3:BF3"/>
    <mergeCell ref="BH3:BJ3"/>
    <mergeCell ref="BL3:BN3"/>
    <mergeCell ref="KO1:LJ2"/>
    <mergeCell ref="LN1:LX2"/>
    <mergeCell ref="MB1:MD2"/>
    <mergeCell ref="DC1:DK1"/>
    <mergeCell ref="CI3:CK3"/>
    <mergeCell ref="CL3:CM3"/>
    <mergeCell ref="CS3:CV3"/>
    <mergeCell ref="CW3:CZ3"/>
    <mergeCell ref="DF3:DG3"/>
    <mergeCell ref="DH3:DJ3"/>
    <mergeCell ref="BP3:BR3"/>
    <mergeCell ref="BT3:BV3"/>
    <mergeCell ref="BW3:BY3"/>
    <mergeCell ref="BZ3:CB3"/>
    <mergeCell ref="CC3:CE3"/>
    <mergeCell ref="CF3:CH3"/>
    <mergeCell ref="FC3:FF3"/>
    <mergeCell ref="FG3:FJ3"/>
    <mergeCell ref="FK3:FM3"/>
    <mergeCell ref="FT3:FW3"/>
    <mergeCell ref="FX3:GB3"/>
    <mergeCell ref="GH3:GK3"/>
    <mergeCell ref="DP3:DS3"/>
    <mergeCell ref="DT3:DW3"/>
    <mergeCell ref="EC3:EF3"/>
    <mergeCell ref="EG3:EJ3"/>
    <mergeCell ref="EP3:ES3"/>
    <mergeCell ref="ET3:EW3"/>
    <mergeCell ref="ID3:IE3"/>
    <mergeCell ref="IF3:IG3"/>
    <mergeCell ref="IO3:IP3"/>
    <mergeCell ref="IQ3:IR3"/>
    <mergeCell ref="IS3:IT3"/>
    <mergeCell ref="IU3:IV3"/>
    <mergeCell ref="GL3:GO3"/>
    <mergeCell ref="GU3:GX3"/>
    <mergeCell ref="GY3:HB3"/>
    <mergeCell ref="HX3:HY3"/>
    <mergeCell ref="HZ3:IA3"/>
    <mergeCell ref="IB3:IC3"/>
    <mergeCell ref="KD3:KE3"/>
    <mergeCell ref="KF3:KG3"/>
    <mergeCell ref="KH3:KI3"/>
    <mergeCell ref="KJ3:KK3"/>
    <mergeCell ref="KS3:KT3"/>
    <mergeCell ref="KU3:KV3"/>
    <mergeCell ref="IW3:IX3"/>
    <mergeCell ref="IY3:IZ3"/>
    <mergeCell ref="JA3:JB3"/>
    <mergeCell ref="JC3:JD3"/>
    <mergeCell ref="JE3:JG3"/>
    <mergeCell ref="KB3:KC3"/>
    <mergeCell ref="LI3:LJ3"/>
    <mergeCell ref="LP3:LR3"/>
    <mergeCell ref="LS3:LU3"/>
    <mergeCell ref="LV3:LX3"/>
    <mergeCell ref="MJ4:MK4"/>
    <mergeCell ref="MM4:MN4"/>
    <mergeCell ref="KW3:KX3"/>
    <mergeCell ref="KY3:KZ3"/>
    <mergeCell ref="LA3:LB3"/>
    <mergeCell ref="LC3:LD3"/>
    <mergeCell ref="LE3:LF3"/>
    <mergeCell ref="LG3:LH3"/>
    <mergeCell ref="MJ35:MK35"/>
    <mergeCell ref="F25:G25"/>
    <mergeCell ref="H25:J25"/>
    <mergeCell ref="K25:M25"/>
    <mergeCell ref="N25:P25"/>
    <mergeCell ref="MJ34:MK34"/>
    <mergeCell ref="AN21:CM21"/>
    <mergeCell ref="BT22:BV22"/>
    <mergeCell ref="BT23:BV23"/>
    <mergeCell ref="F24:G24"/>
    <mergeCell ref="H24:J24"/>
    <mergeCell ref="K24:M24"/>
    <mergeCell ref="N24:P24"/>
  </mergeCells>
  <conditionalFormatting sqref="AM3:CN4">
    <cfRule type="cellIs" dxfId="32" priority="6" operator="lessThan">
      <formula>0</formula>
    </cfRule>
  </conditionalFormatting>
  <conditionalFormatting sqref="AN7:AP20">
    <cfRule type="cellIs" dxfId="31" priority="20" operator="lessThan">
      <formula>0</formula>
    </cfRule>
  </conditionalFormatting>
  <conditionalFormatting sqref="AN22:BT23">
    <cfRule type="cellIs" dxfId="30" priority="4" operator="lessThan">
      <formula>0</formula>
    </cfRule>
  </conditionalFormatting>
  <conditionalFormatting sqref="BW7:CM20">
    <cfRule type="cellIs" dxfId="29" priority="9" operator="lessThan">
      <formula>0</formula>
    </cfRule>
  </conditionalFormatting>
  <conditionalFormatting sqref="BZ22:CA23">
    <cfRule type="cellIs" dxfId="28" priority="3" operator="lessThan">
      <formula>0</formula>
    </cfRule>
  </conditionalFormatting>
  <conditionalFormatting sqref="CC22:CM23">
    <cfRule type="cellIs" dxfId="27" priority="1" operator="lessThan">
      <formula>0</formula>
    </cfRule>
  </conditionalFormatting>
  <conditionalFormatting sqref="CN1:CO1 JJ1:JK1 JX1 KL1:KO1 LK1:LL1 LN1 AM1:AM2 JU1:JW2 AO2:AR2 BW2:CN2 JJ2 LK2 KL2:KN27 CO2:CO1048576 LL2:LL1048576 JJ3:JZ3 KB3 KD3 KF3 KS3:KY3 LA3 LE3:LK3 KQ3:KR4 JJ4 JL4:JV4 KS4:LK4 JX4:KA27 JW4:JW28 AN5:AR5 BW5:CM5 CN5:CN24 KO5:KP27 AM5:AM1048576 AN6:CM6 JT6:JV26 JJ6:JS1048576 AQ7:BT10 BU7:BV11 LE7:LK28 AQ11:BO11 BQ11:BT11 AQ12:BV20 AH19:AJ19 AN26:CN1048576 KC27 KE27 KG27:KI27 JV27:JV32 JT27:JU1048576 LM28:LX28 JW29:KB29 KD29:KN29 KP29:LJ29 LM29:LM36 LK29:LK1048576 KP30:KR30 KT30:LJ30 JW30:JW32 KL30:KN32 JV34:KB50 KD34:KN50 LM37:LX1048576 KO43:LJ1048576 JV51:KN1048576">
    <cfRule type="cellIs" dxfId="26" priority="26" operator="lessThan">
      <formula>0</formula>
    </cfRule>
  </conditionalFormatting>
  <conditionalFormatting sqref="HM4 HM6:HM25">
    <cfRule type="cellIs" dxfId="25" priority="25" operator="lessThan">
      <formula>0</formula>
    </cfRule>
  </conditionalFormatting>
  <conditionalFormatting sqref="IM4">
    <cfRule type="cellIs" dxfId="24" priority="23" operator="lessThan">
      <formula>0</formula>
    </cfRule>
  </conditionalFormatting>
  <conditionalFormatting sqref="JJ5:JV5">
    <cfRule type="cellIs" dxfId="23" priority="12" operator="lessThan">
      <formula>0</formula>
    </cfRule>
  </conditionalFormatting>
  <conditionalFormatting sqref="KB4:KK26">
    <cfRule type="cellIs" dxfId="22" priority="2" operator="lessThan">
      <formula>0</formula>
    </cfRule>
  </conditionalFormatting>
  <conditionalFormatting sqref="KJ3">
    <cfRule type="cellIs" dxfId="21" priority="21" operator="lessThan">
      <formula>0</formula>
    </cfRule>
  </conditionalFormatting>
  <conditionalFormatting sqref="KJ28:LD28">
    <cfRule type="cellIs" dxfId="20" priority="11" operator="lessThan">
      <formula>0</formula>
    </cfRule>
  </conditionalFormatting>
  <conditionalFormatting sqref="KK27">
    <cfRule type="cellIs" dxfId="19" priority="13" operator="lessThan">
      <formula>0</formula>
    </cfRule>
  </conditionalFormatting>
  <conditionalFormatting sqref="KO3:KP3 KP4">
    <cfRule type="cellIs" dxfId="18" priority="22" operator="lessThan">
      <formula>0</formula>
    </cfRule>
  </conditionalFormatting>
  <conditionalFormatting sqref="KQ7:LD27">
    <cfRule type="cellIs" dxfId="17" priority="10" operator="lessThan">
      <formula>0</formula>
    </cfRule>
  </conditionalFormatting>
  <conditionalFormatting sqref="KQ5:LK6">
    <cfRule type="cellIs" dxfId="16" priority="24" operator="lessThan">
      <formula>0</formula>
    </cfRule>
  </conditionalFormatting>
  <conditionalFormatting sqref="LM2">
    <cfRule type="cellIs" dxfId="15" priority="5" operator="lessThan">
      <formula>0</formula>
    </cfRule>
  </conditionalFormatting>
  <conditionalFormatting sqref="LP3:LP4">
    <cfRule type="cellIs" dxfId="14" priority="19" operator="lessThan">
      <formula>0</formula>
    </cfRule>
  </conditionalFormatting>
  <conditionalFormatting sqref="LQ4:LR4">
    <cfRule type="cellIs" dxfId="13" priority="18" operator="lessThan">
      <formula>0</formula>
    </cfRule>
  </conditionalFormatting>
  <conditionalFormatting sqref="LS3:LS4">
    <cfRule type="cellIs" dxfId="12" priority="17" operator="lessThan">
      <formula>0</formula>
    </cfRule>
  </conditionalFormatting>
  <conditionalFormatting sqref="LT4:LU4">
    <cfRule type="cellIs" dxfId="11" priority="16" operator="lessThan">
      <formula>0</formula>
    </cfRule>
  </conditionalFormatting>
  <conditionalFormatting sqref="LV3:LV4">
    <cfRule type="cellIs" dxfId="10" priority="15" operator="lessThan">
      <formula>0</formula>
    </cfRule>
  </conditionalFormatting>
  <conditionalFormatting sqref="LW4:LX4">
    <cfRule type="cellIs" dxfId="9" priority="14" operator="lessThan">
      <formula>0</formula>
    </cfRule>
  </conditionalFormatting>
  <conditionalFormatting sqref="MB1">
    <cfRule type="cellIs" dxfId="8" priority="8" operator="lessThan">
      <formula>0</formula>
    </cfRule>
  </conditionalFormatting>
  <conditionalFormatting sqref="MB4:MD4">
    <cfRule type="cellIs" dxfId="7" priority="7" operator="lessThan">
      <formula>0</formula>
    </cfRule>
  </conditionalFormatting>
  <pageMargins left="0.7" right="0.7" top="0.75" bottom="0.75" header="0.3" footer="0.3"/>
  <pageSetup scale="10" orientation="landscape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59F4-86D4-4A08-B075-F4A875156657}">
  <sheetPr>
    <tabColor theme="6"/>
    <pageSetUpPr autoPageBreaks="0"/>
  </sheetPr>
  <dimension ref="A1:JQ50"/>
  <sheetViews>
    <sheetView zoomScale="70" zoomScaleNormal="70" workbookViewId="0">
      <selection sqref="A1:E1"/>
    </sheetView>
  </sheetViews>
  <sheetFormatPr defaultColWidth="9" defaultRowHeight="16.5" x14ac:dyDescent="0.3"/>
  <cols>
    <col min="1" max="1" width="7.75" style="12" customWidth="1"/>
    <col min="2" max="2" width="30.5" style="12" customWidth="1"/>
    <col min="3" max="3" width="19.125" style="12" bestFit="1" customWidth="1"/>
    <col min="4" max="4" width="9.875" style="12" bestFit="1" customWidth="1"/>
    <col min="5" max="5" width="16.375" style="12" customWidth="1"/>
    <col min="6" max="6" width="3.625" style="12" customWidth="1"/>
    <col min="7" max="7" width="3.625" style="706" customWidth="1"/>
    <col min="8" max="9" width="3.625" style="12" customWidth="1"/>
    <col min="10" max="10" width="10.25" style="12" customWidth="1"/>
    <col min="11" max="11" width="30.375" style="12" customWidth="1"/>
    <col min="12" max="12" width="18.25" style="12" customWidth="1"/>
    <col min="13" max="13" width="11.5" style="12" customWidth="1"/>
    <col min="14" max="14" width="10.25" style="12" bestFit="1" customWidth="1"/>
    <col min="15" max="15" width="13.125" style="12" bestFit="1" customWidth="1"/>
    <col min="16" max="16" width="10.5" style="12" bestFit="1" customWidth="1"/>
    <col min="17" max="17" width="15" style="12" bestFit="1" customWidth="1"/>
    <col min="18" max="18" width="3.625" style="12" customWidth="1"/>
    <col min="19" max="19" width="3.625" style="706" customWidth="1"/>
    <col min="20" max="21" width="3.625" style="12" customWidth="1"/>
    <col min="22" max="22" width="9.875" style="12" customWidth="1"/>
    <col min="23" max="23" width="30.625" style="12" bestFit="1" customWidth="1"/>
    <col min="24" max="24" width="16" style="12" customWidth="1"/>
    <col min="25" max="25" width="10" style="12" customWidth="1"/>
    <col min="26" max="26" width="3.625" style="12" customWidth="1"/>
    <col min="27" max="27" width="3.625" style="706" customWidth="1"/>
    <col min="28" max="28" width="3.625" style="12" customWidth="1"/>
    <col min="29" max="29" width="8.625" style="12" customWidth="1"/>
    <col min="30" max="30" width="11.5" style="12" customWidth="1"/>
    <col min="31" max="31" width="33.5" style="12" customWidth="1"/>
    <col min="32" max="32" width="14.5" style="12" customWidth="1"/>
    <col min="33" max="33" width="3.5" style="12" customWidth="1"/>
    <col min="34" max="34" width="3.625" style="706" customWidth="1"/>
    <col min="35" max="35" width="3.625" style="12" customWidth="1"/>
    <col min="36" max="36" width="4.5" style="12" customWidth="1"/>
    <col min="37" max="37" width="45.875" style="12" customWidth="1"/>
    <col min="38" max="38" width="11.625" style="12" customWidth="1"/>
    <col min="39" max="39" width="3.625" style="12" customWidth="1"/>
    <col min="40" max="40" width="3.625" style="706" customWidth="1"/>
    <col min="41" max="41" width="3.625" style="12" customWidth="1"/>
    <col min="42" max="42" width="4.625" style="12" customWidth="1"/>
    <col min="43" max="43" width="10.875" style="12" customWidth="1"/>
    <col min="44" max="44" width="26.75" style="12" customWidth="1"/>
    <col min="45" max="45" width="11.5" style="12" customWidth="1"/>
    <col min="46" max="46" width="18.5" style="12" bestFit="1" customWidth="1"/>
    <col min="47" max="47" width="13.625" style="12" customWidth="1"/>
    <col min="48" max="48" width="16.75" style="12" bestFit="1" customWidth="1"/>
    <col min="49" max="49" width="11.375" style="12" customWidth="1"/>
    <col min="50" max="50" width="15.25" style="12" customWidth="1"/>
    <col min="51" max="51" width="15.75" style="12" customWidth="1"/>
    <col min="52" max="52" width="12.875" style="12" customWidth="1"/>
    <col min="53" max="53" width="3.625" style="12" customWidth="1"/>
    <col min="54" max="54" width="3.625" style="706" customWidth="1"/>
    <col min="55" max="55" width="3.625" style="12" customWidth="1"/>
    <col min="56" max="56" width="4.125" style="12" bestFit="1" customWidth="1"/>
    <col min="57" max="57" width="31.625" style="12" bestFit="1" customWidth="1"/>
    <col min="58" max="58" width="11.625" style="12" bestFit="1" customWidth="1"/>
    <col min="59" max="59" width="15.875" style="12" customWidth="1"/>
    <col min="60" max="60" width="3.625" style="12" customWidth="1"/>
    <col min="61" max="61" width="3.625" style="706" customWidth="1"/>
    <col min="62" max="62" width="3.625" style="12" customWidth="1"/>
    <col min="63" max="63" width="5" style="12" customWidth="1"/>
    <col min="64" max="64" width="10.25" style="12" customWidth="1"/>
    <col min="65" max="65" width="30.625" style="12" customWidth="1"/>
    <col min="66" max="66" width="15.125" style="12" customWidth="1"/>
    <col min="67" max="67" width="16.125" style="12" customWidth="1"/>
    <col min="68" max="68" width="10.5" style="12" bestFit="1" customWidth="1"/>
    <col min="69" max="69" width="13.375" style="12" bestFit="1" customWidth="1"/>
    <col min="70" max="70" width="14.75" style="12" bestFit="1" customWidth="1"/>
    <col min="71" max="71" width="15.75" style="12" customWidth="1"/>
    <col min="72" max="72" width="3.625" style="12" customWidth="1"/>
    <col min="73" max="73" width="3.625" style="706" customWidth="1"/>
    <col min="74" max="74" width="3.625" style="12" customWidth="1"/>
    <col min="75" max="75" width="4.375" style="12" customWidth="1"/>
    <col min="76" max="76" width="16.5" style="12" bestFit="1" customWidth="1"/>
    <col min="77" max="77" width="12.625" style="12" customWidth="1"/>
    <col min="78" max="78" width="15.125" style="12" bestFit="1" customWidth="1"/>
    <col min="79" max="79" width="14.75" style="12" customWidth="1"/>
    <col min="80" max="80" width="14.875" style="12" customWidth="1"/>
    <col min="81" max="81" width="15.75" style="12" customWidth="1"/>
    <col min="82" max="82" width="15.125" style="12" bestFit="1" customWidth="1"/>
    <col min="83" max="83" width="3.625" style="12" customWidth="1"/>
    <col min="84" max="84" width="3.625" style="706" customWidth="1"/>
    <col min="85" max="85" width="3.625" style="12" customWidth="1"/>
    <col min="86" max="86" width="4.375" style="12" customWidth="1"/>
    <col min="87" max="87" width="11" style="68" customWidth="1"/>
    <col min="88" max="88" width="29.875" style="12" customWidth="1"/>
    <col min="89" max="89" width="14.125" style="12" customWidth="1"/>
    <col min="90" max="90" width="13.75" style="12" bestFit="1" customWidth="1"/>
    <col min="91" max="91" width="11.25" style="12" customWidth="1"/>
    <col min="92" max="93" width="15.125" style="12" bestFit="1" customWidth="1"/>
    <col min="94" max="94" width="11" style="12" customWidth="1"/>
    <col min="95" max="95" width="15" style="12" customWidth="1"/>
    <col min="96" max="96" width="3.625" style="12" customWidth="1"/>
    <col min="97" max="97" width="3.625" style="706" customWidth="1"/>
    <col min="98" max="98" width="3.625" style="12" customWidth="1"/>
    <col min="99" max="99" width="4.125" style="12" customWidth="1"/>
    <col min="100" max="100" width="26.25" style="12" bestFit="1" customWidth="1"/>
    <col min="101" max="101" width="11.25" style="12" customWidth="1"/>
    <col min="102" max="102" width="11.375" style="12" customWidth="1"/>
    <col min="103" max="103" width="11.75" style="12" customWidth="1"/>
    <col min="104" max="104" width="11.375" style="12" bestFit="1" customWidth="1"/>
    <col min="105" max="105" width="14.25" style="12" bestFit="1" customWidth="1"/>
    <col min="106" max="106" width="16.125" style="12" bestFit="1" customWidth="1"/>
    <col min="107" max="107" width="15.25" style="12" bestFit="1" customWidth="1"/>
    <col min="108" max="108" width="3.625" style="12" customWidth="1"/>
    <col min="109" max="109" width="3.625" style="706" customWidth="1"/>
    <col min="110" max="110" width="3.625" style="12" customWidth="1"/>
    <col min="111" max="111" width="5.125" style="12" customWidth="1"/>
    <col min="112" max="112" width="10" style="12" customWidth="1"/>
    <col min="113" max="113" width="30.125" style="12" customWidth="1"/>
    <col min="114" max="114" width="11.375" style="12" customWidth="1"/>
    <col min="115" max="115" width="12.375" style="12" bestFit="1" customWidth="1"/>
    <col min="116" max="116" width="14.25" style="12" bestFit="1" customWidth="1"/>
    <col min="117" max="117" width="13.75" style="12" bestFit="1" customWidth="1"/>
    <col min="118" max="118" width="11.375" style="12" customWidth="1"/>
    <col min="119" max="119" width="13.75" style="12" bestFit="1" customWidth="1"/>
    <col min="120" max="120" width="14.625" style="12" customWidth="1"/>
    <col min="121" max="121" width="8.75" style="12" bestFit="1" customWidth="1"/>
    <col min="122" max="122" width="16.375" style="12" customWidth="1"/>
    <col min="123" max="123" width="3.625" style="12" customWidth="1"/>
    <col min="124" max="124" width="3.625" style="706" customWidth="1"/>
    <col min="125" max="125" width="3.625" style="12" customWidth="1"/>
    <col min="126" max="126" width="5.375" style="12" customWidth="1"/>
    <col min="127" max="127" width="9.75" style="12" customWidth="1"/>
    <col min="128" max="128" width="30.625" style="12" customWidth="1"/>
    <col min="129" max="129" width="14.25" style="12" bestFit="1" customWidth="1"/>
    <col min="130" max="130" width="13.75" style="12" bestFit="1" customWidth="1"/>
    <col min="131" max="131" width="15" style="12" customWidth="1"/>
    <col min="132" max="132" width="3.625" style="12" customWidth="1"/>
    <col min="133" max="133" width="3.625" style="706" customWidth="1"/>
    <col min="134" max="134" width="3.625" style="12" customWidth="1"/>
    <col min="135" max="135" width="4.125" style="12" customWidth="1"/>
    <col min="136" max="136" width="15.625" style="12" customWidth="1"/>
    <col min="137" max="137" width="14.375" style="12" bestFit="1" customWidth="1"/>
    <col min="138" max="138" width="11.5" style="12" customWidth="1"/>
    <col min="139" max="139" width="14.75" style="12" bestFit="1" customWidth="1"/>
    <col min="140" max="140" width="3.625" style="12" customWidth="1"/>
    <col min="141" max="141" width="3.625" style="706" customWidth="1"/>
    <col min="142" max="142" width="3.625" style="12" customWidth="1"/>
    <col min="143" max="143" width="5" style="12" customWidth="1"/>
    <col min="144" max="144" width="10.25" style="12" customWidth="1"/>
    <col min="145" max="145" width="30.125" style="12" customWidth="1"/>
    <col min="146" max="146" width="12.5" style="12" bestFit="1" customWidth="1"/>
    <col min="147" max="147" width="13.75" style="12" bestFit="1" customWidth="1"/>
    <col min="148" max="148" width="11.75" style="12" customWidth="1"/>
    <col min="149" max="149" width="13.375" style="12" bestFit="1" customWidth="1"/>
    <col min="150" max="150" width="11.375" style="12" customWidth="1"/>
    <col min="151" max="151" width="13.375" style="12" bestFit="1" customWidth="1"/>
    <col min="152" max="152" width="14.25" style="12" bestFit="1" customWidth="1"/>
    <col min="153" max="153" width="8.75" style="12" bestFit="1" customWidth="1"/>
    <col min="154" max="154" width="15" style="12" customWidth="1"/>
    <col min="155" max="155" width="3.625" style="12" customWidth="1"/>
    <col min="156" max="156" width="3.625" style="706" customWidth="1"/>
    <col min="157" max="157" width="3.625" style="12" customWidth="1"/>
    <col min="158" max="158" width="4.625" style="12" customWidth="1"/>
    <col min="159" max="159" width="29.125" style="12" customWidth="1"/>
    <col min="160" max="160" width="18.625" style="12" customWidth="1"/>
    <col min="161" max="161" width="3.625" style="12" customWidth="1"/>
    <col min="162" max="162" width="3.625" style="706" customWidth="1"/>
    <col min="163" max="163" width="3.625" style="12" customWidth="1"/>
    <col min="164" max="164" width="4.75" style="12" customWidth="1"/>
    <col min="165" max="165" width="10" style="12" customWidth="1"/>
    <col min="166" max="166" width="35" style="12" customWidth="1"/>
    <col min="167" max="167" width="11.25" style="12" customWidth="1"/>
    <col min="168" max="168" width="19" style="12" customWidth="1"/>
    <col min="169" max="169" width="16" style="12" customWidth="1"/>
    <col min="170" max="170" width="3.625" style="12" customWidth="1"/>
    <col min="171" max="171" width="3.625" style="706" customWidth="1"/>
    <col min="172" max="172" width="3.625" style="12" customWidth="1"/>
    <col min="173" max="173" width="5" style="12" customWidth="1"/>
    <col min="174" max="174" width="9.25" style="12" customWidth="1"/>
    <col min="175" max="175" width="33" style="12" customWidth="1"/>
    <col min="176" max="176" width="14.875" style="12" bestFit="1" customWidth="1"/>
    <col min="177" max="177" width="14.75" style="12" bestFit="1" customWidth="1"/>
    <col min="178" max="178" width="15.125" style="12" bestFit="1" customWidth="1"/>
    <col min="179" max="179" width="13.375" style="12" bestFit="1" customWidth="1"/>
    <col min="180" max="180" width="13.75" style="12" bestFit="1" customWidth="1"/>
    <col min="181" max="181" width="14.75" style="12" bestFit="1" customWidth="1"/>
    <col min="182" max="182" width="15.125" style="12" bestFit="1" customWidth="1"/>
    <col min="183" max="183" width="15.25" style="12" bestFit="1" customWidth="1"/>
    <col min="184" max="184" width="15.625" style="12" customWidth="1"/>
    <col min="185" max="185" width="2.625" style="12" customWidth="1"/>
    <col min="186" max="186" width="3.625" style="706" customWidth="1"/>
    <col min="187" max="187" width="3.625" style="12" customWidth="1"/>
    <col min="188" max="188" width="4.75" style="12" customWidth="1"/>
    <col min="189" max="189" width="12.625" style="12" customWidth="1"/>
    <col min="190" max="190" width="33" style="12" customWidth="1"/>
    <col min="191" max="191" width="15.375" style="12" bestFit="1" customWidth="1"/>
    <col min="192" max="196" width="15.75" style="12" customWidth="1"/>
    <col min="197" max="197" width="21.25" style="12" bestFit="1" customWidth="1"/>
    <col min="198" max="198" width="16.375" style="12" customWidth="1"/>
    <col min="199" max="199" width="18.5" style="12" bestFit="1" customWidth="1"/>
    <col min="200" max="200" width="4.125" style="12" customWidth="1"/>
    <col min="201" max="201" width="3.625" style="706" customWidth="1"/>
    <col min="202" max="202" width="3.625" style="12" customWidth="1"/>
    <col min="203" max="203" width="5.25" style="12" customWidth="1"/>
    <col min="204" max="204" width="13.375" style="12" customWidth="1"/>
    <col min="205" max="205" width="30.625" style="12" bestFit="1" customWidth="1"/>
    <col min="206" max="206" width="15.75" style="12" customWidth="1"/>
    <col min="207" max="207" width="15.25" style="12" bestFit="1" customWidth="1"/>
    <col min="208" max="208" width="23.5" style="12" bestFit="1" customWidth="1"/>
    <col min="209" max="209" width="15.375" style="12" customWidth="1"/>
    <col min="210" max="210" width="15.25" style="12" bestFit="1" customWidth="1"/>
    <col min="211" max="211" width="11.625" style="12" customWidth="1"/>
    <col min="212" max="212" width="2.625" style="12" customWidth="1"/>
    <col min="213" max="213" width="3.625" style="706" customWidth="1"/>
    <col min="214" max="214" width="3.625" style="12" customWidth="1"/>
    <col min="215" max="215" width="5.125" style="12" customWidth="1"/>
    <col min="216" max="216" width="16.625" style="12" customWidth="1"/>
    <col min="217" max="217" width="15.5" style="12" bestFit="1" customWidth="1"/>
    <col min="218" max="218" width="13.625" style="12" customWidth="1"/>
    <col min="219" max="219" width="15.5" style="12" bestFit="1" customWidth="1"/>
    <col min="220" max="220" width="12.125" style="12" customWidth="1"/>
    <col min="221" max="221" width="2.625" style="12" customWidth="1"/>
    <col min="222" max="222" width="3.625" style="706" customWidth="1"/>
    <col min="223" max="223" width="3.625" style="12" customWidth="1"/>
    <col min="224" max="224" width="6.625" style="12" customWidth="1"/>
    <col min="225" max="225" width="10.375" style="12" customWidth="1"/>
    <col min="226" max="226" width="28.625" style="12" bestFit="1" customWidth="1"/>
    <col min="227" max="227" width="18.5" style="12" bestFit="1" customWidth="1"/>
    <col min="228" max="228" width="19.125" style="12" customWidth="1"/>
    <col min="229" max="229" width="20.25" style="12" customWidth="1"/>
    <col min="230" max="230" width="10.125" style="12" customWidth="1"/>
    <col min="231" max="231" width="12" style="12" customWidth="1"/>
    <col min="232" max="232" width="16" style="12" customWidth="1"/>
    <col min="233" max="233" width="3.625" style="12" customWidth="1"/>
    <col min="234" max="234" width="3.625" style="706" customWidth="1"/>
    <col min="235" max="235" width="3.625" style="12" customWidth="1"/>
    <col min="236" max="236" width="12.75" style="12" bestFit="1" customWidth="1"/>
    <col min="237" max="237" width="13.5" style="12" bestFit="1" customWidth="1"/>
    <col min="238" max="238" width="9.875" style="12" bestFit="1" customWidth="1"/>
    <col min="239" max="239" width="9.375" style="12" bestFit="1" customWidth="1"/>
    <col min="240" max="240" width="13" style="12" customWidth="1"/>
    <col min="241" max="241" width="15.375" style="12" customWidth="1"/>
    <col min="242" max="242" width="9.75" style="12" customWidth="1"/>
    <col min="243" max="243" width="17" style="12" bestFit="1" customWidth="1"/>
    <col min="244" max="244" width="9.25" style="12" customWidth="1"/>
    <col min="245" max="245" width="11.625" style="12" customWidth="1"/>
    <col min="246" max="246" width="12.125" style="12" bestFit="1" customWidth="1"/>
    <col min="247" max="247" width="3.625" style="706" customWidth="1"/>
    <col min="248" max="248" width="12.625" style="12" bestFit="1" customWidth="1"/>
    <col min="249" max="249" width="4.125" style="12" bestFit="1" customWidth="1"/>
    <col min="250" max="250" width="11.5" style="12" customWidth="1"/>
    <col min="251" max="251" width="29.875" style="12" customWidth="1"/>
    <col min="252" max="252" width="16.75" style="12" bestFit="1" customWidth="1"/>
    <col min="253" max="253" width="18.5" style="12" bestFit="1" customWidth="1"/>
    <col min="254" max="255" width="17.25" style="12" customWidth="1"/>
    <col min="256" max="256" width="19.5" style="12" customWidth="1"/>
    <col min="257" max="257" width="18.75" style="12" customWidth="1"/>
    <col min="258" max="258" width="18.375" style="12" customWidth="1"/>
    <col min="259" max="259" width="14" style="12" customWidth="1"/>
    <col min="260" max="260" width="12.75" style="12" customWidth="1"/>
    <col min="261" max="261" width="19.25" style="12" bestFit="1" customWidth="1"/>
    <col min="262" max="262" width="10.875" style="12" customWidth="1"/>
    <col min="263" max="263" width="9" style="12"/>
    <col min="264" max="264" width="3.625" style="706" customWidth="1"/>
    <col min="265" max="265" width="9" style="12"/>
    <col min="266" max="266" width="6.625" style="12" customWidth="1"/>
    <col min="267" max="267" width="11.25" style="12" customWidth="1"/>
    <col min="268" max="268" width="29.625" style="12" customWidth="1"/>
    <col min="269" max="269" width="18.5" style="12" bestFit="1" customWidth="1"/>
    <col min="270" max="270" width="17.875" style="12" customWidth="1"/>
    <col min="271" max="271" width="14.25" style="12" bestFit="1" customWidth="1"/>
    <col min="272" max="272" width="10.625" style="12" customWidth="1"/>
    <col min="273" max="273" width="10.875" style="12" customWidth="1"/>
    <col min="274" max="274" width="14.75" style="12" customWidth="1"/>
    <col min="275" max="276" width="9" style="12"/>
    <col min="277" max="277" width="3.625" style="706" customWidth="1"/>
  </cols>
  <sheetData>
    <row r="1" spans="1:277" s="695" customFormat="1" x14ac:dyDescent="0.3">
      <c r="A1" s="908" t="s">
        <v>263</v>
      </c>
      <c r="B1" s="908"/>
      <c r="C1" s="908"/>
      <c r="D1" s="908"/>
      <c r="E1" s="908"/>
      <c r="F1" s="689"/>
      <c r="G1" s="690"/>
      <c r="H1" s="689"/>
      <c r="I1" s="905" t="s">
        <v>264</v>
      </c>
      <c r="J1" s="905"/>
      <c r="K1" s="905"/>
      <c r="L1" s="905"/>
      <c r="M1" s="905"/>
      <c r="N1" s="905"/>
      <c r="O1" s="905"/>
      <c r="P1" s="905"/>
      <c r="Q1" s="905"/>
      <c r="R1" s="689"/>
      <c r="S1" s="690"/>
      <c r="T1" s="689"/>
      <c r="U1" s="905" t="s">
        <v>265</v>
      </c>
      <c r="V1" s="905"/>
      <c r="W1" s="905"/>
      <c r="X1" s="905"/>
      <c r="Y1" s="905"/>
      <c r="Z1" s="689"/>
      <c r="AA1" s="690"/>
      <c r="AB1" s="689"/>
      <c r="AC1" s="908" t="s">
        <v>266</v>
      </c>
      <c r="AD1" s="908"/>
      <c r="AE1" s="908"/>
      <c r="AF1" s="908"/>
      <c r="AG1" s="691"/>
      <c r="AH1" s="690"/>
      <c r="AI1" s="689"/>
      <c r="AJ1" s="909" t="s">
        <v>267</v>
      </c>
      <c r="AK1" s="909"/>
      <c r="AL1" s="909"/>
      <c r="AM1" s="5"/>
      <c r="AN1" s="692"/>
      <c r="AO1" s="5"/>
      <c r="AP1" s="907" t="s">
        <v>268</v>
      </c>
      <c r="AQ1" s="907"/>
      <c r="AR1" s="907"/>
      <c r="AS1" s="907"/>
      <c r="AT1" s="907"/>
      <c r="AU1" s="907"/>
      <c r="AV1" s="907"/>
      <c r="AW1" s="907"/>
      <c r="AX1" s="907"/>
      <c r="AY1" s="907"/>
      <c r="AZ1" s="907"/>
      <c r="BA1" s="689"/>
      <c r="BB1" s="690"/>
      <c r="BC1" s="689"/>
      <c r="BD1" s="909" t="s">
        <v>269</v>
      </c>
      <c r="BE1" s="909"/>
      <c r="BF1" s="909"/>
      <c r="BG1" s="909"/>
      <c r="BH1" s="689"/>
      <c r="BI1" s="690"/>
      <c r="BJ1" s="689"/>
      <c r="BK1" s="911" t="s">
        <v>270</v>
      </c>
      <c r="BL1" s="911"/>
      <c r="BM1" s="911"/>
      <c r="BN1" s="911"/>
      <c r="BO1" s="911"/>
      <c r="BP1" s="911"/>
      <c r="BQ1" s="911"/>
      <c r="BR1" s="911"/>
      <c r="BS1" s="911"/>
      <c r="BT1" s="689"/>
      <c r="BU1" s="690"/>
      <c r="BV1" s="689"/>
      <c r="BW1" s="905" t="s">
        <v>271</v>
      </c>
      <c r="BX1" s="905"/>
      <c r="BY1" s="905"/>
      <c r="BZ1" s="905"/>
      <c r="CA1" s="905"/>
      <c r="CB1" s="905"/>
      <c r="CC1" s="905"/>
      <c r="CD1" s="905"/>
      <c r="CE1" s="689"/>
      <c r="CF1" s="690"/>
      <c r="CG1" s="689"/>
      <c r="CH1" s="905" t="s">
        <v>272</v>
      </c>
      <c r="CI1" s="905"/>
      <c r="CJ1" s="905"/>
      <c r="CK1" s="905"/>
      <c r="CL1" s="905"/>
      <c r="CM1" s="905"/>
      <c r="CN1" s="905"/>
      <c r="CO1" s="905"/>
      <c r="CP1" s="905"/>
      <c r="CQ1" s="905"/>
      <c r="CR1" s="689"/>
      <c r="CS1" s="690"/>
      <c r="CT1" s="689"/>
      <c r="CU1" s="905" t="s">
        <v>273</v>
      </c>
      <c r="CV1" s="905"/>
      <c r="CW1" s="905"/>
      <c r="CX1" s="905"/>
      <c r="CY1" s="905"/>
      <c r="CZ1" s="905"/>
      <c r="DA1" s="905"/>
      <c r="DB1" s="905"/>
      <c r="DC1" s="905"/>
      <c r="DD1" s="689"/>
      <c r="DE1" s="690"/>
      <c r="DF1" s="689"/>
      <c r="DG1" s="910" t="s">
        <v>274</v>
      </c>
      <c r="DH1" s="910"/>
      <c r="DI1" s="910"/>
      <c r="DJ1" s="910"/>
      <c r="DK1" s="910"/>
      <c r="DL1" s="910"/>
      <c r="DM1" s="910"/>
      <c r="DN1" s="910"/>
      <c r="DO1" s="910"/>
      <c r="DP1" s="910"/>
      <c r="DQ1" s="910"/>
      <c r="DR1" s="910"/>
      <c r="DS1" s="689"/>
      <c r="DT1" s="690"/>
      <c r="DU1" s="689"/>
      <c r="DV1" s="910" t="s">
        <v>275</v>
      </c>
      <c r="DW1" s="910"/>
      <c r="DX1" s="910"/>
      <c r="DY1" s="910"/>
      <c r="DZ1" s="910"/>
      <c r="EA1" s="910"/>
      <c r="EB1" s="689"/>
      <c r="EC1" s="690"/>
      <c r="ED1" s="689"/>
      <c r="EE1" s="908" t="s">
        <v>276</v>
      </c>
      <c r="EF1" s="908"/>
      <c r="EG1" s="908"/>
      <c r="EH1" s="908"/>
      <c r="EI1" s="908"/>
      <c r="EJ1" s="689"/>
      <c r="EK1" s="690"/>
      <c r="EL1" s="689"/>
      <c r="EM1" s="910" t="s">
        <v>277</v>
      </c>
      <c r="EN1" s="910"/>
      <c r="EO1" s="910"/>
      <c r="EP1" s="910"/>
      <c r="EQ1" s="910"/>
      <c r="ER1" s="910"/>
      <c r="ES1" s="910"/>
      <c r="ET1" s="910"/>
      <c r="EU1" s="910"/>
      <c r="EV1" s="910"/>
      <c r="EW1" s="910"/>
      <c r="EX1" s="910"/>
      <c r="EY1" s="689"/>
      <c r="EZ1" s="690"/>
      <c r="FA1" s="689"/>
      <c r="FB1" s="908" t="s">
        <v>278</v>
      </c>
      <c r="FC1" s="908"/>
      <c r="FD1" s="908"/>
      <c r="FE1" s="689"/>
      <c r="FF1" s="690"/>
      <c r="FG1" s="689"/>
      <c r="FH1" s="910" t="s">
        <v>279</v>
      </c>
      <c r="FI1" s="910"/>
      <c r="FJ1" s="910"/>
      <c r="FK1" s="910"/>
      <c r="FL1" s="910"/>
      <c r="FM1" s="910"/>
      <c r="FN1" s="689"/>
      <c r="FO1" s="692"/>
      <c r="FP1" s="5"/>
      <c r="FQ1" s="905" t="s">
        <v>280</v>
      </c>
      <c r="FR1" s="905"/>
      <c r="FS1" s="905"/>
      <c r="FT1" s="905"/>
      <c r="FU1" s="905"/>
      <c r="FV1" s="905"/>
      <c r="FW1" s="905"/>
      <c r="FX1" s="905"/>
      <c r="FY1" s="905"/>
      <c r="FZ1" s="905"/>
      <c r="GA1" s="905"/>
      <c r="GB1" s="905"/>
      <c r="GC1" s="688"/>
      <c r="GD1" s="692"/>
      <c r="GE1" s="5"/>
      <c r="GF1" s="907" t="s">
        <v>281</v>
      </c>
      <c r="GG1" s="907"/>
      <c r="GH1" s="907"/>
      <c r="GI1" s="907"/>
      <c r="GJ1" s="907"/>
      <c r="GK1" s="907"/>
      <c r="GL1" s="907"/>
      <c r="GM1" s="907"/>
      <c r="GN1" s="907"/>
      <c r="GO1" s="907"/>
      <c r="GP1" s="907"/>
      <c r="GQ1" s="907"/>
      <c r="GR1" s="693"/>
      <c r="GS1" s="692"/>
      <c r="GT1" s="5"/>
      <c r="GU1" s="908" t="s">
        <v>282</v>
      </c>
      <c r="GV1" s="908"/>
      <c r="GW1" s="908"/>
      <c r="GX1" s="908"/>
      <c r="GY1" s="908"/>
      <c r="GZ1" s="908"/>
      <c r="HA1" s="908"/>
      <c r="HB1" s="908"/>
      <c r="HC1" s="908"/>
      <c r="HD1" s="694"/>
      <c r="HE1" s="692"/>
      <c r="HF1" s="5"/>
      <c r="HG1" s="908" t="s">
        <v>283</v>
      </c>
      <c r="HH1" s="908"/>
      <c r="HI1" s="908"/>
      <c r="HJ1" s="908"/>
      <c r="HK1" s="908"/>
      <c r="HL1" s="908"/>
      <c r="HM1" s="694"/>
      <c r="HN1" s="692"/>
      <c r="HO1" s="5"/>
      <c r="HP1" s="905" t="s">
        <v>284</v>
      </c>
      <c r="HQ1" s="905"/>
      <c r="HR1" s="905"/>
      <c r="HS1" s="905"/>
      <c r="HT1" s="905"/>
      <c r="HU1" s="905"/>
      <c r="HV1" s="905"/>
      <c r="HW1" s="905"/>
      <c r="HX1" s="905"/>
      <c r="HY1" s="689"/>
      <c r="HZ1" s="690"/>
      <c r="IA1" s="689"/>
      <c r="IB1" s="909" t="s">
        <v>285</v>
      </c>
      <c r="IC1" s="909"/>
      <c r="ID1" s="909"/>
      <c r="IE1" s="909"/>
      <c r="IF1" s="909"/>
      <c r="IG1" s="909"/>
      <c r="IH1" s="909"/>
      <c r="II1" s="909"/>
      <c r="IJ1" s="909"/>
      <c r="IK1" s="909"/>
      <c r="IL1" s="689"/>
      <c r="IM1" s="690"/>
      <c r="IN1" s="689"/>
      <c r="IO1" s="909" t="s">
        <v>286</v>
      </c>
      <c r="IP1" s="909"/>
      <c r="IQ1" s="909"/>
      <c r="IR1" s="909"/>
      <c r="IS1" s="909"/>
      <c r="IT1" s="909"/>
      <c r="IU1" s="909"/>
      <c r="IV1" s="909"/>
      <c r="IW1" s="909"/>
      <c r="IX1" s="909"/>
      <c r="IY1" s="909"/>
      <c r="IZ1" s="909"/>
      <c r="JA1" s="909"/>
      <c r="JB1" s="909"/>
      <c r="JC1" s="5"/>
      <c r="JD1" s="692"/>
      <c r="JE1" s="5"/>
      <c r="JF1" s="905" t="s">
        <v>287</v>
      </c>
      <c r="JG1" s="905"/>
      <c r="JH1" s="905"/>
      <c r="JI1" s="905"/>
      <c r="JJ1" s="905"/>
      <c r="JK1" s="905"/>
      <c r="JL1" s="905"/>
      <c r="JM1" s="905"/>
      <c r="JN1" s="905"/>
      <c r="JO1" s="5"/>
      <c r="JP1" s="5"/>
      <c r="JQ1" s="692"/>
    </row>
    <row r="2" spans="1:277" ht="64.5" customHeight="1" x14ac:dyDescent="0.3">
      <c r="A2" s="696"/>
      <c r="B2" s="697"/>
      <c r="C2" s="83" t="s">
        <v>288</v>
      </c>
      <c r="D2" s="83" t="s">
        <v>289</v>
      </c>
      <c r="E2" s="83" t="s">
        <v>290</v>
      </c>
      <c r="F2" s="54"/>
      <c r="G2" s="698"/>
      <c r="H2" s="54"/>
      <c r="I2" s="696"/>
      <c r="J2" s="83" t="s">
        <v>291</v>
      </c>
      <c r="K2" s="83" t="s">
        <v>292</v>
      </c>
      <c r="L2" s="83" t="s">
        <v>293</v>
      </c>
      <c r="M2" s="83" t="s">
        <v>294</v>
      </c>
      <c r="N2" s="83" t="s">
        <v>295</v>
      </c>
      <c r="O2" s="83" t="s">
        <v>296</v>
      </c>
      <c r="P2" s="83" t="s">
        <v>297</v>
      </c>
      <c r="Q2" s="83" t="s">
        <v>298</v>
      </c>
      <c r="R2" s="54"/>
      <c r="S2" s="698"/>
      <c r="T2" s="54"/>
      <c r="U2" s="696"/>
      <c r="V2" s="83" t="s">
        <v>291</v>
      </c>
      <c r="W2" s="83" t="s">
        <v>292</v>
      </c>
      <c r="X2" s="83" t="s">
        <v>299</v>
      </c>
      <c r="Y2" s="83" t="s">
        <v>300</v>
      </c>
      <c r="Z2" s="54"/>
      <c r="AA2" s="698"/>
      <c r="AB2" s="54"/>
      <c r="AC2" s="699"/>
      <c r="AD2" s="700" t="s">
        <v>291</v>
      </c>
      <c r="AE2" s="83" t="s">
        <v>292</v>
      </c>
      <c r="AF2" s="700" t="s">
        <v>301</v>
      </c>
      <c r="AG2" s="54"/>
      <c r="AH2" s="698"/>
      <c r="AI2" s="54"/>
      <c r="AJ2" s="696"/>
      <c r="AK2" s="83"/>
      <c r="AL2" s="83" t="s">
        <v>129</v>
      </c>
      <c r="AM2" s="701"/>
      <c r="AN2" s="702"/>
      <c r="AO2" s="701"/>
      <c r="AP2" s="696"/>
      <c r="AQ2" s="83" t="s">
        <v>291</v>
      </c>
      <c r="AR2" s="83" t="s">
        <v>292</v>
      </c>
      <c r="AS2" s="83" t="s">
        <v>302</v>
      </c>
      <c r="AT2" s="83" t="s">
        <v>303</v>
      </c>
      <c r="AU2" s="83" t="s">
        <v>304</v>
      </c>
      <c r="AV2" s="83" t="s">
        <v>305</v>
      </c>
      <c r="AW2" s="83" t="s">
        <v>306</v>
      </c>
      <c r="AX2" s="83" t="s">
        <v>307</v>
      </c>
      <c r="AY2" s="114" t="s">
        <v>308</v>
      </c>
      <c r="AZ2" s="114" t="s">
        <v>309</v>
      </c>
      <c r="BA2" s="54"/>
      <c r="BB2" s="698"/>
      <c r="BC2" s="186"/>
      <c r="BD2" s="696"/>
      <c r="BE2" s="83" t="s">
        <v>310</v>
      </c>
      <c r="BF2" s="83" t="s">
        <v>311</v>
      </c>
      <c r="BG2" s="83" t="s">
        <v>312</v>
      </c>
      <c r="BH2" s="54"/>
      <c r="BI2" s="698"/>
      <c r="BJ2" s="54"/>
      <c r="BK2" s="696"/>
      <c r="BL2" s="83" t="s">
        <v>291</v>
      </c>
      <c r="BM2" s="83" t="s">
        <v>292</v>
      </c>
      <c r="BN2" s="83" t="str">
        <f>BE4</f>
        <v>Direct and Collector Labour Allocator</v>
      </c>
      <c r="BO2" s="83" t="s">
        <v>313</v>
      </c>
      <c r="BP2" s="83" t="str">
        <f>BE5</f>
        <v>Volume Allocator</v>
      </c>
      <c r="BQ2" s="83" t="s">
        <v>314</v>
      </c>
      <c r="BR2" s="83" t="s">
        <v>315</v>
      </c>
      <c r="BS2" s="83" t="s">
        <v>290</v>
      </c>
      <c r="BT2" s="54"/>
      <c r="BU2" s="698"/>
      <c r="BV2" s="54"/>
      <c r="BW2" s="696"/>
      <c r="BX2" s="114"/>
      <c r="BY2" s="83" t="s">
        <v>316</v>
      </c>
      <c r="BZ2" s="83" t="s">
        <v>317</v>
      </c>
      <c r="CA2" s="83" t="s">
        <v>318</v>
      </c>
      <c r="CB2" s="83" t="s">
        <v>319</v>
      </c>
      <c r="CC2" s="83" t="s">
        <v>320</v>
      </c>
      <c r="CD2" s="83" t="s">
        <v>321</v>
      </c>
      <c r="CE2" s="54"/>
      <c r="CF2" s="698"/>
      <c r="CG2" s="54"/>
      <c r="CH2" s="696"/>
      <c r="CI2" s="83" t="s">
        <v>291</v>
      </c>
      <c r="CJ2" s="83" t="s">
        <v>292</v>
      </c>
      <c r="CK2" s="83" t="s">
        <v>322</v>
      </c>
      <c r="CL2" s="83" t="s">
        <v>323</v>
      </c>
      <c r="CM2" s="83" t="s">
        <v>324</v>
      </c>
      <c r="CN2" s="83" t="s">
        <v>325</v>
      </c>
      <c r="CO2" s="83" t="s">
        <v>326</v>
      </c>
      <c r="CP2" s="83" t="s">
        <v>327</v>
      </c>
      <c r="CQ2" s="83" t="s">
        <v>290</v>
      </c>
      <c r="CR2" s="54"/>
      <c r="CS2" s="698"/>
      <c r="CT2" s="54"/>
      <c r="CU2" s="696"/>
      <c r="CV2" s="83" t="s">
        <v>328</v>
      </c>
      <c r="CW2" s="83" t="s">
        <v>327</v>
      </c>
      <c r="CX2" s="83" t="s">
        <v>297</v>
      </c>
      <c r="CY2" s="703" t="s">
        <v>322</v>
      </c>
      <c r="CZ2" s="83" t="str">
        <f>CW2</f>
        <v>Building Allocator</v>
      </c>
      <c r="DA2" s="83" t="str">
        <f>CX2</f>
        <v>Pallet Allocator</v>
      </c>
      <c r="DB2" s="83" t="str">
        <f>CY2</f>
        <v>Volume Allocator</v>
      </c>
      <c r="DC2" s="83" t="s">
        <v>329</v>
      </c>
      <c r="DD2" s="54"/>
      <c r="DE2" s="698"/>
      <c r="DF2" s="54"/>
      <c r="DG2" s="696"/>
      <c r="DH2" s="83" t="s">
        <v>291</v>
      </c>
      <c r="DI2" s="83" t="s">
        <v>292</v>
      </c>
      <c r="DJ2" s="83" t="s">
        <v>327</v>
      </c>
      <c r="DK2" s="83" t="s">
        <v>330</v>
      </c>
      <c r="DL2" s="83" t="s">
        <v>297</v>
      </c>
      <c r="DM2" s="83" t="s">
        <v>331</v>
      </c>
      <c r="DN2" s="83" t="s">
        <v>322</v>
      </c>
      <c r="DO2" s="83" t="s">
        <v>332</v>
      </c>
      <c r="DP2" s="83" t="s">
        <v>333</v>
      </c>
      <c r="DQ2" s="83" t="s">
        <v>334</v>
      </c>
      <c r="DR2" s="83" t="s">
        <v>290</v>
      </c>
      <c r="DS2" s="54"/>
      <c r="DT2" s="698"/>
      <c r="DU2" s="54"/>
      <c r="DV2" s="696"/>
      <c r="DW2" s="83" t="s">
        <v>291</v>
      </c>
      <c r="DX2" s="83" t="s">
        <v>292</v>
      </c>
      <c r="DY2" s="83" t="s">
        <v>297</v>
      </c>
      <c r="DZ2" s="83" t="s">
        <v>335</v>
      </c>
      <c r="EA2" s="83" t="s">
        <v>290</v>
      </c>
      <c r="EB2" s="54"/>
      <c r="EC2" s="698"/>
      <c r="ED2" s="54"/>
      <c r="EE2" s="704"/>
      <c r="EF2" s="83" t="s">
        <v>310</v>
      </c>
      <c r="EG2" s="83" t="s">
        <v>336</v>
      </c>
      <c r="EH2" s="83" t="s">
        <v>311</v>
      </c>
      <c r="EI2" s="83" t="s">
        <v>312</v>
      </c>
      <c r="EJ2" s="54"/>
      <c r="EK2" s="698"/>
      <c r="EL2" s="54"/>
      <c r="EM2" s="696"/>
      <c r="EN2" s="83" t="s">
        <v>291</v>
      </c>
      <c r="EO2" s="83" t="s">
        <v>292</v>
      </c>
      <c r="EP2" s="83" t="s">
        <v>300</v>
      </c>
      <c r="EQ2" s="83" t="s">
        <v>337</v>
      </c>
      <c r="ER2" s="83" t="s">
        <v>327</v>
      </c>
      <c r="ES2" s="83" t="s">
        <v>338</v>
      </c>
      <c r="ET2" s="83" t="s">
        <v>322</v>
      </c>
      <c r="EU2" s="83" t="s">
        <v>339</v>
      </c>
      <c r="EV2" s="83" t="s">
        <v>340</v>
      </c>
      <c r="EW2" s="83" t="s">
        <v>334</v>
      </c>
      <c r="EX2" s="83" t="s">
        <v>290</v>
      </c>
      <c r="EY2" s="54"/>
      <c r="EZ2" s="698"/>
      <c r="FA2" s="54"/>
      <c r="FB2" s="705"/>
      <c r="FC2" s="72" t="s">
        <v>128</v>
      </c>
      <c r="FD2" s="72" t="s">
        <v>341</v>
      </c>
      <c r="FE2" s="54"/>
      <c r="FF2" s="698"/>
      <c r="FG2" s="54"/>
      <c r="FH2" s="696"/>
      <c r="FI2" s="83" t="s">
        <v>291</v>
      </c>
      <c r="FJ2" s="83" t="s">
        <v>292</v>
      </c>
      <c r="FK2" s="83" t="str">
        <f>Y2</f>
        <v>Business Cost Allocator</v>
      </c>
      <c r="FL2" s="83" t="s">
        <v>342</v>
      </c>
      <c r="FM2" s="83" t="s">
        <v>290</v>
      </c>
      <c r="FN2" s="54"/>
      <c r="FQ2" s="696"/>
      <c r="FR2" s="83" t="s">
        <v>291</v>
      </c>
      <c r="FS2" s="83" t="s">
        <v>292</v>
      </c>
      <c r="FT2" s="83" t="s">
        <v>343</v>
      </c>
      <c r="FU2" s="83" t="s">
        <v>49</v>
      </c>
      <c r="FV2" s="83" t="s">
        <v>344</v>
      </c>
      <c r="FW2" s="83" t="s">
        <v>53</v>
      </c>
      <c r="FX2" s="83" t="s">
        <v>51</v>
      </c>
      <c r="FY2" s="83" t="s">
        <v>54</v>
      </c>
      <c r="FZ2" s="83" t="s">
        <v>341</v>
      </c>
      <c r="GA2" s="83" t="s">
        <v>345</v>
      </c>
      <c r="GB2" s="83" t="s">
        <v>290</v>
      </c>
      <c r="GC2" s="54"/>
      <c r="GF2" s="696"/>
      <c r="GG2" s="83" t="s">
        <v>291</v>
      </c>
      <c r="GH2" s="83" t="s">
        <v>292</v>
      </c>
      <c r="GI2" s="83" t="s">
        <v>346</v>
      </c>
      <c r="GJ2" s="83" t="s">
        <v>347</v>
      </c>
      <c r="GK2" s="83" t="s">
        <v>348</v>
      </c>
      <c r="GL2" s="83" t="s">
        <v>349</v>
      </c>
      <c r="GM2" s="83" t="s">
        <v>350</v>
      </c>
      <c r="GN2" s="83" t="s">
        <v>351</v>
      </c>
      <c r="GO2" s="83" t="s">
        <v>352</v>
      </c>
      <c r="GP2" s="83" t="s">
        <v>290</v>
      </c>
      <c r="GQ2" s="83" t="s">
        <v>119</v>
      </c>
      <c r="GR2" s="707"/>
      <c r="GU2" s="696"/>
      <c r="GV2" s="83" t="s">
        <v>291</v>
      </c>
      <c r="GW2" s="83" t="s">
        <v>292</v>
      </c>
      <c r="GX2" s="83" t="s">
        <v>298</v>
      </c>
      <c r="GY2" s="83" t="s">
        <v>345</v>
      </c>
      <c r="GZ2" s="83" t="s">
        <v>119</v>
      </c>
      <c r="HA2" s="83" t="s">
        <v>353</v>
      </c>
      <c r="HB2" s="83" t="s">
        <v>354</v>
      </c>
      <c r="HC2" s="83" t="s">
        <v>355</v>
      </c>
      <c r="HD2" s="54"/>
      <c r="HG2" s="696"/>
      <c r="HH2" s="83" t="s">
        <v>298</v>
      </c>
      <c r="HI2" s="83" t="s">
        <v>345</v>
      </c>
      <c r="HJ2" s="83" t="s">
        <v>119</v>
      </c>
      <c r="HK2" s="83" t="s">
        <v>354</v>
      </c>
      <c r="HL2" s="83" t="s">
        <v>355</v>
      </c>
      <c r="HM2" s="54"/>
      <c r="HP2" s="696"/>
      <c r="HQ2" s="709" t="s">
        <v>291</v>
      </c>
      <c r="HR2" s="709" t="str">
        <f>FS2</f>
        <v>Container Stream</v>
      </c>
      <c r="HS2" s="709" t="s">
        <v>119</v>
      </c>
      <c r="HT2" s="709" t="s">
        <v>356</v>
      </c>
      <c r="HU2" s="709" t="s">
        <v>357</v>
      </c>
      <c r="HV2" s="709" t="s">
        <v>74</v>
      </c>
      <c r="HW2" s="709" t="s">
        <v>358</v>
      </c>
      <c r="HX2" s="709" t="s">
        <v>359</v>
      </c>
      <c r="HY2" s="54"/>
      <c r="HZ2" s="698"/>
      <c r="IB2" s="710" t="s">
        <v>360</v>
      </c>
      <c r="IC2" s="710" t="s">
        <v>119</v>
      </c>
      <c r="ID2" s="710" t="s">
        <v>361</v>
      </c>
      <c r="IE2" s="710" t="s">
        <v>362</v>
      </c>
      <c r="IF2" s="710" t="s">
        <v>363</v>
      </c>
      <c r="IG2" s="710" t="s">
        <v>288</v>
      </c>
      <c r="IH2" s="710" t="s">
        <v>364</v>
      </c>
      <c r="II2" s="710" t="s">
        <v>365</v>
      </c>
      <c r="IJ2" s="710" t="s">
        <v>366</v>
      </c>
      <c r="IK2" s="710" t="s">
        <v>367</v>
      </c>
      <c r="IL2" s="54"/>
      <c r="IM2" s="698"/>
      <c r="IN2" s="54"/>
      <c r="IO2" s="711"/>
      <c r="IP2" s="710" t="s">
        <v>291</v>
      </c>
      <c r="IQ2" s="712" t="s">
        <v>292</v>
      </c>
      <c r="IR2" s="710" t="s">
        <v>345</v>
      </c>
      <c r="IS2" s="710" t="s">
        <v>119</v>
      </c>
      <c r="IT2" s="710" t="s">
        <v>368</v>
      </c>
      <c r="IU2" s="710" t="s">
        <v>369</v>
      </c>
      <c r="IV2" s="710" t="s">
        <v>370</v>
      </c>
      <c r="IW2" s="710" t="s">
        <v>371</v>
      </c>
      <c r="IX2" s="713" t="s">
        <v>372</v>
      </c>
      <c r="IY2" s="713" t="s">
        <v>373</v>
      </c>
      <c r="IZ2" s="713" t="s">
        <v>374</v>
      </c>
      <c r="JA2" s="713" t="s">
        <v>375</v>
      </c>
      <c r="JB2" s="713" t="s">
        <v>376</v>
      </c>
      <c r="JF2" s="696"/>
      <c r="JG2" s="709" t="s">
        <v>291</v>
      </c>
      <c r="JH2" s="709" t="str">
        <f>FS2</f>
        <v>Container Stream</v>
      </c>
      <c r="JI2" s="709" t="s">
        <v>119</v>
      </c>
      <c r="JJ2" s="709" t="s">
        <v>377</v>
      </c>
      <c r="JK2" s="709" t="s">
        <v>378</v>
      </c>
      <c r="JL2" s="709" t="s">
        <v>74</v>
      </c>
      <c r="JM2" s="709" t="s">
        <v>358</v>
      </c>
      <c r="JN2" s="709" t="s">
        <v>359</v>
      </c>
    </row>
    <row r="3" spans="1:277" ht="16.5" customHeight="1" x14ac:dyDescent="0.3">
      <c r="A3" s="714" t="s">
        <v>135</v>
      </c>
      <c r="B3" s="154" t="s">
        <v>136</v>
      </c>
      <c r="C3" s="154" t="s">
        <v>137</v>
      </c>
      <c r="D3" s="154" t="s">
        <v>161</v>
      </c>
      <c r="E3" s="154" t="s">
        <v>139</v>
      </c>
      <c r="F3" s="131"/>
      <c r="G3" s="715"/>
      <c r="H3" s="131"/>
      <c r="I3" s="714" t="s">
        <v>135</v>
      </c>
      <c r="J3" s="154" t="s">
        <v>136</v>
      </c>
      <c r="K3" s="154" t="s">
        <v>137</v>
      </c>
      <c r="L3" s="154" t="s">
        <v>149</v>
      </c>
      <c r="M3" s="154" t="s">
        <v>139</v>
      </c>
      <c r="N3" s="154" t="s">
        <v>140</v>
      </c>
      <c r="O3" s="154" t="s">
        <v>141</v>
      </c>
      <c r="P3" s="154" t="s">
        <v>142</v>
      </c>
      <c r="Q3" s="152" t="s">
        <v>143</v>
      </c>
      <c r="R3" s="131"/>
      <c r="S3" s="715"/>
      <c r="T3" s="131"/>
      <c r="U3" s="714" t="s">
        <v>135</v>
      </c>
      <c r="V3" s="154" t="s">
        <v>136</v>
      </c>
      <c r="W3" s="154" t="s">
        <v>137</v>
      </c>
      <c r="X3" s="154" t="s">
        <v>149</v>
      </c>
      <c r="Y3" s="154" t="s">
        <v>139</v>
      </c>
      <c r="Z3" s="131"/>
      <c r="AA3" s="715"/>
      <c r="AB3" s="131"/>
      <c r="AC3" s="714" t="s">
        <v>135</v>
      </c>
      <c r="AD3" s="154" t="s">
        <v>136</v>
      </c>
      <c r="AE3" s="154" t="s">
        <v>137</v>
      </c>
      <c r="AF3" s="154" t="s">
        <v>149</v>
      </c>
      <c r="AG3" s="131"/>
      <c r="AH3" s="715"/>
      <c r="AI3" s="131"/>
      <c r="AJ3" s="714" t="s">
        <v>135</v>
      </c>
      <c r="AK3" s="154" t="s">
        <v>136</v>
      </c>
      <c r="AL3" s="154" t="s">
        <v>137</v>
      </c>
      <c r="AM3" s="716"/>
      <c r="AN3" s="717"/>
      <c r="AO3" s="716"/>
      <c r="AP3" s="718" t="s">
        <v>135</v>
      </c>
      <c r="AQ3" s="154" t="s">
        <v>136</v>
      </c>
      <c r="AR3" s="154" t="s">
        <v>137</v>
      </c>
      <c r="AS3" s="154" t="s">
        <v>149</v>
      </c>
      <c r="AT3" s="719" t="s">
        <v>139</v>
      </c>
      <c r="AU3" s="154" t="s">
        <v>140</v>
      </c>
      <c r="AV3" s="154" t="s">
        <v>141</v>
      </c>
      <c r="AW3" s="154" t="s">
        <v>142</v>
      </c>
      <c r="AX3" s="154" t="s">
        <v>143</v>
      </c>
      <c r="AY3" s="131" t="s">
        <v>145</v>
      </c>
      <c r="AZ3" s="131" t="s">
        <v>144</v>
      </c>
      <c r="BA3" s="131"/>
      <c r="BB3" s="715"/>
      <c r="BC3" s="152"/>
      <c r="BD3" s="714" t="s">
        <v>135</v>
      </c>
      <c r="BE3" s="154" t="s">
        <v>136</v>
      </c>
      <c r="BF3" s="154" t="s">
        <v>149</v>
      </c>
      <c r="BG3" s="154" t="s">
        <v>139</v>
      </c>
      <c r="BH3" s="131"/>
      <c r="BI3" s="715"/>
      <c r="BJ3" s="131"/>
      <c r="BK3" s="714" t="s">
        <v>135</v>
      </c>
      <c r="BL3" s="154" t="s">
        <v>136</v>
      </c>
      <c r="BM3" s="154" t="s">
        <v>137</v>
      </c>
      <c r="BN3" s="154" t="s">
        <v>161</v>
      </c>
      <c r="BO3" s="154" t="s">
        <v>139</v>
      </c>
      <c r="BP3" s="154" t="s">
        <v>140</v>
      </c>
      <c r="BQ3" s="154" t="s">
        <v>141</v>
      </c>
      <c r="BR3" s="152" t="s">
        <v>142</v>
      </c>
      <c r="BS3" s="152" t="s">
        <v>143</v>
      </c>
      <c r="BT3" s="131"/>
      <c r="BU3" s="715"/>
      <c r="BV3" s="131"/>
      <c r="BW3" s="714" t="s">
        <v>135</v>
      </c>
      <c r="BX3" s="154" t="s">
        <v>136</v>
      </c>
      <c r="BY3" s="154" t="s">
        <v>137</v>
      </c>
      <c r="BZ3" s="154" t="s">
        <v>149</v>
      </c>
      <c r="CA3" s="154" t="s">
        <v>139</v>
      </c>
      <c r="CB3" s="154" t="s">
        <v>140</v>
      </c>
      <c r="CC3" s="154" t="s">
        <v>141</v>
      </c>
      <c r="CD3" s="154" t="s">
        <v>142</v>
      </c>
      <c r="CE3" s="131"/>
      <c r="CF3" s="715"/>
      <c r="CG3" s="131"/>
      <c r="CH3" s="714" t="s">
        <v>135</v>
      </c>
      <c r="CI3" s="154" t="s">
        <v>136</v>
      </c>
      <c r="CJ3" s="154" t="s">
        <v>137</v>
      </c>
      <c r="CK3" s="154" t="s">
        <v>149</v>
      </c>
      <c r="CL3" s="154" t="s">
        <v>139</v>
      </c>
      <c r="CM3" s="154" t="s">
        <v>140</v>
      </c>
      <c r="CN3" s="154" t="s">
        <v>141</v>
      </c>
      <c r="CO3" s="154" t="s">
        <v>142</v>
      </c>
      <c r="CP3" s="154" t="s">
        <v>143</v>
      </c>
      <c r="CQ3" s="154" t="s">
        <v>144</v>
      </c>
      <c r="CR3" s="131"/>
      <c r="CS3" s="715"/>
      <c r="CT3" s="131"/>
      <c r="CU3" s="714" t="s">
        <v>135</v>
      </c>
      <c r="CV3" s="154" t="s">
        <v>136</v>
      </c>
      <c r="CW3" s="154" t="s">
        <v>137</v>
      </c>
      <c r="CX3" s="154" t="s">
        <v>161</v>
      </c>
      <c r="CY3" s="154" t="s">
        <v>139</v>
      </c>
      <c r="CZ3" s="154" t="s">
        <v>162</v>
      </c>
      <c r="DA3" s="154" t="s">
        <v>379</v>
      </c>
      <c r="DB3" s="154" t="s">
        <v>142</v>
      </c>
      <c r="DC3" s="154" t="s">
        <v>380</v>
      </c>
      <c r="DD3" s="131"/>
      <c r="DE3" s="715"/>
      <c r="DF3" s="131"/>
      <c r="DG3" s="714" t="s">
        <v>135</v>
      </c>
      <c r="DH3" s="154" t="s">
        <v>136</v>
      </c>
      <c r="DI3" s="154" t="s">
        <v>137</v>
      </c>
      <c r="DJ3" s="154" t="s">
        <v>149</v>
      </c>
      <c r="DK3" s="154" t="s">
        <v>139</v>
      </c>
      <c r="DL3" s="154" t="s">
        <v>140</v>
      </c>
      <c r="DM3" s="154" t="s">
        <v>141</v>
      </c>
      <c r="DN3" s="154" t="s">
        <v>142</v>
      </c>
      <c r="DO3" s="154" t="s">
        <v>143</v>
      </c>
      <c r="DP3" s="154" t="s">
        <v>144</v>
      </c>
      <c r="DQ3" s="154" t="s">
        <v>145</v>
      </c>
      <c r="DR3" s="154" t="s">
        <v>146</v>
      </c>
      <c r="DS3" s="131"/>
      <c r="DT3" s="715"/>
      <c r="DU3" s="131"/>
      <c r="DV3" s="714" t="s">
        <v>135</v>
      </c>
      <c r="DW3" s="154" t="s">
        <v>136</v>
      </c>
      <c r="DX3" s="154" t="s">
        <v>137</v>
      </c>
      <c r="DY3" s="154" t="s">
        <v>149</v>
      </c>
      <c r="DZ3" s="154" t="s">
        <v>139</v>
      </c>
      <c r="EA3" s="154" t="s">
        <v>162</v>
      </c>
      <c r="EB3" s="131"/>
      <c r="EC3" s="715"/>
      <c r="ED3" s="131"/>
      <c r="EE3" s="714" t="s">
        <v>135</v>
      </c>
      <c r="EF3" s="154" t="s">
        <v>136</v>
      </c>
      <c r="EG3" s="154" t="s">
        <v>137</v>
      </c>
      <c r="EH3" s="154" t="s">
        <v>149</v>
      </c>
      <c r="EI3" s="154" t="s">
        <v>139</v>
      </c>
      <c r="EJ3" s="131"/>
      <c r="EK3" s="715"/>
      <c r="EL3" s="131"/>
      <c r="EM3" s="714" t="s">
        <v>135</v>
      </c>
      <c r="EN3" s="154" t="s">
        <v>136</v>
      </c>
      <c r="EO3" s="154" t="s">
        <v>137</v>
      </c>
      <c r="EP3" s="154" t="s">
        <v>149</v>
      </c>
      <c r="EQ3" s="154" t="s">
        <v>139</v>
      </c>
      <c r="ER3" s="154" t="s">
        <v>140</v>
      </c>
      <c r="ES3" s="154" t="s">
        <v>141</v>
      </c>
      <c r="ET3" s="154" t="s">
        <v>142</v>
      </c>
      <c r="EU3" s="154" t="s">
        <v>143</v>
      </c>
      <c r="EV3" s="154" t="s">
        <v>144</v>
      </c>
      <c r="EW3" s="154" t="s">
        <v>145</v>
      </c>
      <c r="EX3" s="154" t="s">
        <v>146</v>
      </c>
      <c r="EY3" s="131"/>
      <c r="EZ3" s="715"/>
      <c r="FA3" s="131"/>
      <c r="FB3" s="714" t="s">
        <v>135</v>
      </c>
      <c r="FC3" s="154" t="s">
        <v>136</v>
      </c>
      <c r="FD3" s="154" t="s">
        <v>137</v>
      </c>
      <c r="FE3" s="131"/>
      <c r="FF3" s="715"/>
      <c r="FG3" s="131"/>
      <c r="FH3" s="714" t="s">
        <v>135</v>
      </c>
      <c r="FI3" s="154" t="s">
        <v>136</v>
      </c>
      <c r="FJ3" s="154" t="s">
        <v>137</v>
      </c>
      <c r="FK3" s="154" t="s">
        <v>149</v>
      </c>
      <c r="FL3" s="154" t="s">
        <v>139</v>
      </c>
      <c r="FM3" s="154" t="s">
        <v>162</v>
      </c>
      <c r="FN3" s="131"/>
      <c r="FO3" s="720"/>
      <c r="FP3" s="68"/>
      <c r="FQ3" s="714" t="s">
        <v>135</v>
      </c>
      <c r="FR3" s="154" t="s">
        <v>136</v>
      </c>
      <c r="FS3" s="154" t="s">
        <v>137</v>
      </c>
      <c r="FT3" s="154" t="s">
        <v>149</v>
      </c>
      <c r="FU3" s="719" t="s">
        <v>139</v>
      </c>
      <c r="FV3" s="154" t="s">
        <v>140</v>
      </c>
      <c r="FW3" s="154" t="s">
        <v>141</v>
      </c>
      <c r="FX3" s="152" t="s">
        <v>142</v>
      </c>
      <c r="FY3" s="152" t="s">
        <v>143</v>
      </c>
      <c r="FZ3" s="152" t="s">
        <v>144</v>
      </c>
      <c r="GA3" s="721" t="s">
        <v>145</v>
      </c>
      <c r="GB3" s="154" t="s">
        <v>146</v>
      </c>
      <c r="GC3" s="716"/>
      <c r="GD3" s="720"/>
      <c r="GE3" s="68"/>
      <c r="GF3" s="714" t="s">
        <v>135</v>
      </c>
      <c r="GG3" s="154" t="s">
        <v>136</v>
      </c>
      <c r="GH3" s="154" t="s">
        <v>137</v>
      </c>
      <c r="GI3" s="154" t="s">
        <v>149</v>
      </c>
      <c r="GJ3" s="154" t="s">
        <v>139</v>
      </c>
      <c r="GK3" s="719" t="s">
        <v>140</v>
      </c>
      <c r="GL3" s="154" t="s">
        <v>141</v>
      </c>
      <c r="GM3" s="154" t="s">
        <v>142</v>
      </c>
      <c r="GN3" s="152" t="s">
        <v>143</v>
      </c>
      <c r="GO3" s="152" t="s">
        <v>144</v>
      </c>
      <c r="GP3" s="152" t="s">
        <v>145</v>
      </c>
      <c r="GQ3" s="154" t="s">
        <v>146</v>
      </c>
      <c r="GU3" s="714" t="s">
        <v>135</v>
      </c>
      <c r="GV3" s="154" t="s">
        <v>136</v>
      </c>
      <c r="GW3" s="154" t="s">
        <v>137</v>
      </c>
      <c r="GX3" s="154" t="s">
        <v>149</v>
      </c>
      <c r="GY3" s="721" t="s">
        <v>139</v>
      </c>
      <c r="GZ3" s="154" t="s">
        <v>140</v>
      </c>
      <c r="HA3" s="154" t="s">
        <v>141</v>
      </c>
      <c r="HB3" s="154" t="s">
        <v>142</v>
      </c>
      <c r="HC3" s="154" t="s">
        <v>143</v>
      </c>
      <c r="HD3" s="716"/>
      <c r="HG3" s="714" t="s">
        <v>135</v>
      </c>
      <c r="HH3" s="154" t="s">
        <v>136</v>
      </c>
      <c r="HI3" s="154" t="s">
        <v>137</v>
      </c>
      <c r="HJ3" s="154" t="s">
        <v>149</v>
      </c>
      <c r="HK3" s="721" t="s">
        <v>139</v>
      </c>
      <c r="HL3" s="154" t="s">
        <v>140</v>
      </c>
      <c r="HM3" s="716"/>
      <c r="HP3" s="714" t="s">
        <v>135</v>
      </c>
      <c r="HQ3" s="154" t="s">
        <v>136</v>
      </c>
      <c r="HR3" s="154" t="s">
        <v>137</v>
      </c>
      <c r="HS3" s="154" t="s">
        <v>149</v>
      </c>
      <c r="HT3" s="154" t="s">
        <v>139</v>
      </c>
      <c r="HU3" s="154" t="s">
        <v>140</v>
      </c>
      <c r="HV3" s="719" t="s">
        <v>141</v>
      </c>
      <c r="HW3" s="719" t="s">
        <v>142</v>
      </c>
      <c r="HX3" s="719" t="s">
        <v>143</v>
      </c>
      <c r="HY3" s="131"/>
      <c r="HZ3" s="715"/>
      <c r="IB3" s="154" t="s">
        <v>136</v>
      </c>
      <c r="IC3" s="154" t="s">
        <v>137</v>
      </c>
      <c r="ID3" s="154" t="s">
        <v>149</v>
      </c>
      <c r="IE3" s="154" t="s">
        <v>139</v>
      </c>
      <c r="IF3" s="154" t="s">
        <v>140</v>
      </c>
      <c r="IG3" s="154" t="s">
        <v>141</v>
      </c>
      <c r="IH3" s="154" t="s">
        <v>142</v>
      </c>
      <c r="II3" s="154" t="s">
        <v>143</v>
      </c>
      <c r="IJ3" s="154" t="s">
        <v>144</v>
      </c>
      <c r="IK3" s="154" t="s">
        <v>145</v>
      </c>
      <c r="IL3" s="131"/>
      <c r="IM3" s="715"/>
      <c r="IN3" s="131"/>
      <c r="IO3" s="714" t="s">
        <v>135</v>
      </c>
      <c r="IP3" s="154" t="s">
        <v>136</v>
      </c>
      <c r="IQ3" s="154" t="s">
        <v>137</v>
      </c>
      <c r="IR3" s="154" t="s">
        <v>149</v>
      </c>
      <c r="IS3" s="154" t="s">
        <v>139</v>
      </c>
      <c r="IT3" s="154" t="s">
        <v>140</v>
      </c>
      <c r="IU3" s="154" t="s">
        <v>141</v>
      </c>
      <c r="IV3" s="152" t="s">
        <v>142</v>
      </c>
      <c r="IW3" s="152" t="s">
        <v>143</v>
      </c>
      <c r="IX3" s="152" t="s">
        <v>144</v>
      </c>
      <c r="IY3" s="152" t="s">
        <v>145</v>
      </c>
      <c r="IZ3" s="152" t="s">
        <v>146</v>
      </c>
      <c r="JA3" s="152" t="s">
        <v>147</v>
      </c>
      <c r="JB3" s="152" t="s">
        <v>148</v>
      </c>
      <c r="JF3" s="714" t="s">
        <v>135</v>
      </c>
      <c r="JG3" s="154" t="s">
        <v>136</v>
      </c>
      <c r="JH3" s="154" t="s">
        <v>137</v>
      </c>
      <c r="JI3" s="154" t="s">
        <v>149</v>
      </c>
      <c r="JJ3" s="154" t="s">
        <v>139</v>
      </c>
      <c r="JK3" s="154" t="s">
        <v>140</v>
      </c>
      <c r="JL3" s="719" t="s">
        <v>141</v>
      </c>
      <c r="JM3" s="719" t="s">
        <v>142</v>
      </c>
      <c r="JN3" s="719" t="s">
        <v>143</v>
      </c>
    </row>
    <row r="4" spans="1:277" ht="17.25" thickBot="1" x14ac:dyDescent="0.35">
      <c r="A4" s="722">
        <v>1</v>
      </c>
      <c r="B4" s="723" t="s">
        <v>47</v>
      </c>
      <c r="C4" s="310">
        <f>'Phase I Schedules'!MJ14</f>
        <v>42928836.218025245</v>
      </c>
      <c r="D4" s="724">
        <f t="shared" ref="D4:D12" si="0">C4/$C$13</f>
        <v>0.30412100083309335</v>
      </c>
      <c r="E4" s="725">
        <v>1.9195126327351413</v>
      </c>
      <c r="I4" s="264">
        <v>1</v>
      </c>
      <c r="J4" s="726">
        <f t="shared" ref="J4:J28" si="1">FR4</f>
        <v>1</v>
      </c>
      <c r="K4" s="12" t="s">
        <v>404</v>
      </c>
      <c r="L4" s="399">
        <v>1153474476</v>
      </c>
      <c r="M4" s="271">
        <f t="shared" ref="M4:M28" si="2">L4/$L$29</f>
        <v>0.51576260231575366</v>
      </c>
      <c r="N4" s="399">
        <v>2144</v>
      </c>
      <c r="O4" s="399">
        <f>IFERROR(L4/N4,0)</f>
        <v>538001.15485074627</v>
      </c>
      <c r="P4" s="271">
        <f t="shared" ref="P4:P28" si="3">O4/$O$29</f>
        <v>0.29191386653553841</v>
      </c>
      <c r="Q4" s="248" t="s">
        <v>385</v>
      </c>
      <c r="U4" s="727">
        <v>1</v>
      </c>
      <c r="V4" s="728">
        <f t="shared" ref="V4:V27" si="4">FR4</f>
        <v>1</v>
      </c>
      <c r="W4" s="12" t="s">
        <v>404</v>
      </c>
      <c r="X4" s="273">
        <f>SUM(FT4:FX4)</f>
        <v>36809492.1786744</v>
      </c>
      <c r="Y4" s="271">
        <f t="shared" ref="Y4:Y28" si="5">SUM(FT4:FX4)/SUM($FT$29:$FX$29)</f>
        <v>0.35537903126887066</v>
      </c>
      <c r="AC4" s="727">
        <v>1</v>
      </c>
      <c r="AD4" s="68">
        <v>1</v>
      </c>
      <c r="AE4" s="275" t="s">
        <v>404</v>
      </c>
      <c r="AF4" s="301">
        <v>2.2000000000000002</v>
      </c>
      <c r="AJ4" s="727">
        <v>1</v>
      </c>
      <c r="AK4" s="729" t="s">
        <v>382</v>
      </c>
      <c r="AL4" s="730">
        <f>C4+C5</f>
        <v>45255582.425438076</v>
      </c>
      <c r="AM4" s="731"/>
      <c r="AN4" s="732"/>
      <c r="AO4" s="731"/>
      <c r="AP4" s="727">
        <v>1</v>
      </c>
      <c r="AQ4" s="733">
        <f t="shared" ref="AQ4:AQ27" si="6">FR4</f>
        <v>1</v>
      </c>
      <c r="AR4" s="12" t="s">
        <v>404</v>
      </c>
      <c r="AS4" s="12">
        <f t="shared" ref="AS4:AS28" si="7">VLOOKUP(AQ4,$AD$4:$AF$28,$AS$31,FALSE)</f>
        <v>2.2000000000000002</v>
      </c>
      <c r="AT4" s="734">
        <v>1153474476</v>
      </c>
      <c r="AU4" s="734">
        <f>AT4*AS4/3600</f>
        <v>704901.06866666675</v>
      </c>
      <c r="AV4" s="735">
        <f t="shared" ref="AV4:AV28" si="8">AU4*$AL$5/$AU$29</f>
        <v>694488.12148741644</v>
      </c>
      <c r="AW4" s="736">
        <f t="shared" ref="AW4:AW28" si="9">$AL$6</f>
        <v>21.544156020912027</v>
      </c>
      <c r="AX4" s="273">
        <f>AV4*AW4</f>
        <v>14962160.443995006</v>
      </c>
      <c r="AY4" s="271">
        <f t="shared" ref="AY4:AY29" si="10">AX4/$AX$29</f>
        <v>0.33061469198073568</v>
      </c>
      <c r="AZ4" s="269">
        <f t="shared" ref="AZ4:AZ28" si="11">IF($AT4=0,0,ROUND(IF(VLOOKUP(AQ4,$AQ$4:$AT$28,$AZ$31,FALSE)&lt;&gt;0,AX4/VLOOKUP(AQ4,$AQ$4:$AT$28,$AZ$31,FALSE)*100,""),6))</f>
        <v>1.2971379999999999</v>
      </c>
      <c r="BD4" s="264">
        <v>1</v>
      </c>
      <c r="BE4" s="12" t="str">
        <f>AY2</f>
        <v>Direct and Collector Labour Allocator</v>
      </c>
      <c r="BF4" s="271">
        <v>0.5</v>
      </c>
      <c r="BG4" s="273">
        <f>BF4*$BG$6</f>
        <v>9267169.4291186817</v>
      </c>
      <c r="BK4" s="264">
        <v>1</v>
      </c>
      <c r="BL4" s="248">
        <f t="shared" ref="BL4:BL27" si="12">FR4</f>
        <v>1</v>
      </c>
      <c r="BM4" s="12" t="s">
        <v>404</v>
      </c>
      <c r="BN4" s="271">
        <f t="shared" ref="BN4:BN28" si="13">VLOOKUP(BL4,$AQ$4:$AY$28,$BN$34,FALSE)</f>
        <v>0.33061469198073568</v>
      </c>
      <c r="BO4" s="273">
        <f t="shared" ref="BO4:BO28" si="14">BN4*$BO$29</f>
        <v>3063862.3663413632</v>
      </c>
      <c r="BP4" s="271">
        <f t="shared" ref="BP4:BP28" si="15">VLOOKUP(BL4,$J$4:$M$28,$BP$34,FALSE)</f>
        <v>0.51576260231575366</v>
      </c>
      <c r="BQ4" s="273">
        <f t="shared" ref="BQ4:BQ28" si="16">BP4*$BQ$29</f>
        <v>4779659.4208632484</v>
      </c>
      <c r="BR4" s="464">
        <f t="shared" ref="BR4:BR28" si="17">BQ4+BO4</f>
        <v>7843521.787204612</v>
      </c>
      <c r="BS4" s="269">
        <f t="shared" ref="BS4:BS28" si="18">IF($AT4=0,0,ROUND(IF(VLOOKUP(BL4,$AQ$4:$AT$28,$AZ$31,FALSE)&lt;&gt;0,BR4/VLOOKUP(BL4,$AQ$4:$AT$28,$AZ$31,FALSE)*100,""),6))</f>
        <v>0.67999100000000001</v>
      </c>
      <c r="BW4" s="264">
        <v>1</v>
      </c>
      <c r="BX4" s="12" t="s">
        <v>383</v>
      </c>
      <c r="BY4" s="737">
        <v>7.3808394467097971E-2</v>
      </c>
      <c r="BZ4" s="738">
        <f>BY4*$BZ$9</f>
        <v>2008099.0692782456</v>
      </c>
      <c r="CA4" s="739">
        <v>1</v>
      </c>
      <c r="CB4" s="739"/>
      <c r="CC4" s="738">
        <f t="shared" ref="CC4:CD8" si="19">CA4*$BZ4</f>
        <v>2008099.0692782456</v>
      </c>
      <c r="CD4" s="738">
        <f t="shared" si="19"/>
        <v>0</v>
      </c>
      <c r="CH4" s="264">
        <v>1</v>
      </c>
      <c r="CI4" s="68">
        <f t="shared" ref="CI4:CI27" si="20">FR4</f>
        <v>1</v>
      </c>
      <c r="CJ4" s="12" t="s">
        <v>404</v>
      </c>
      <c r="CK4" s="271">
        <f t="shared" ref="CK4:CK28" si="21">VLOOKUP(CI4,$J$4:$M$28,$CK$33,FALSE)</f>
        <v>0.51576260231575366</v>
      </c>
      <c r="CL4" s="273">
        <f t="shared" ref="CL4:CL28" si="22">CK4*$CL$29</f>
        <v>3237261.0568139646</v>
      </c>
      <c r="CM4" s="271">
        <f t="shared" ref="CM4:CM28" si="23">VLOOKUP(CI4,$J$4:$P$28,$CM$33,FALSE)</f>
        <v>0.29191386653553841</v>
      </c>
      <c r="CN4" s="273">
        <f t="shared" ref="CN4:CN28" si="24">CM4*$CN$29</f>
        <v>6109836.1457587006</v>
      </c>
      <c r="CO4" s="273">
        <f t="shared" ref="CO4:CO28" si="25">CN4+CL4</f>
        <v>9347097.2025726661</v>
      </c>
      <c r="CP4" s="271">
        <f t="shared" ref="CP4:CP28" si="26">CO4/$CO$29</f>
        <v>0.34355587729929749</v>
      </c>
      <c r="CQ4" s="269">
        <f t="shared" ref="CQ4:CQ28" si="27">IF($AT4=0,0,ROUND(IF(VLOOKUP(CI4,$AQ$4:$AT$28,$AZ$31,FALSE)&lt;&gt;0,CO4/VLOOKUP(CI4,$AQ$4:$AT$28,$AZ$31,FALSE)*100,""),6))</f>
        <v>0.81034300000000004</v>
      </c>
      <c r="CU4" s="264">
        <v>1</v>
      </c>
      <c r="CV4" s="17" t="s">
        <v>381</v>
      </c>
      <c r="CW4" s="271">
        <v>0</v>
      </c>
      <c r="CX4" s="271">
        <v>0.5</v>
      </c>
      <c r="CY4" s="429">
        <v>0.5</v>
      </c>
      <c r="CZ4" s="273">
        <f>CW4*$DC4</f>
        <v>0</v>
      </c>
      <c r="DA4" s="273">
        <f t="shared" ref="CZ4:DB6" si="28">CX4*$DC4</f>
        <v>3546840.318119192</v>
      </c>
      <c r="DB4" s="273">
        <f t="shared" si="28"/>
        <v>3546840.318119192</v>
      </c>
      <c r="DC4" s="273">
        <v>7093680.6362383841</v>
      </c>
      <c r="DG4" s="727">
        <v>1</v>
      </c>
      <c r="DH4" s="740">
        <f t="shared" ref="DH4:DH27" si="29">FR4</f>
        <v>1</v>
      </c>
      <c r="DI4" s="12" t="s">
        <v>404</v>
      </c>
      <c r="DJ4" s="271">
        <f t="shared" ref="DJ4:DJ28" si="30">VLOOKUP(DH4,$CI$4:$CP$28,$DJ$34,FALSE)</f>
        <v>0.34355587729929749</v>
      </c>
      <c r="DK4" s="273">
        <f t="shared" ref="DK4:DK28" si="31">DJ4*$DK$29</f>
        <v>108061.14843838569</v>
      </c>
      <c r="DL4" s="271">
        <f t="shared" ref="DL4:DL28" si="32">VLOOKUP(DH4,$J$4:$Q$28,$DL$34,FALSE)</f>
        <v>0.29191386653553841</v>
      </c>
      <c r="DM4" s="273">
        <f t="shared" ref="DM4:DM28" si="33">DL4*$DM$29</f>
        <v>1035371.8712463124</v>
      </c>
      <c r="DN4" s="271">
        <f t="shared" ref="DN4:DN28" si="34">VLOOKUP(DH4,$J$4:$Q$28,$DN$34,FALSE)</f>
        <v>0.51576260231575366</v>
      </c>
      <c r="DO4" s="273">
        <f t="shared" ref="DO4:DO28" si="35">DN4*$DO$29</f>
        <v>2229921.343030341</v>
      </c>
      <c r="DP4" s="273">
        <f>DK4+DM4+DO4</f>
        <v>3373354.3627150389</v>
      </c>
      <c r="DQ4" s="271">
        <f t="shared" ref="DQ4:DQ28" si="36">DP4/$DP$29</f>
        <v>0.41214262959053471</v>
      </c>
      <c r="DR4" s="269">
        <f t="shared" ref="DR4:DR28" si="37">IF($AT4=0,0,ROUND(IF(VLOOKUP(DH4,$AQ$4:$AT$28,$AZ$31,FALSE)&lt;&gt;0,DP4/VLOOKUP(DH4,$AQ$4:$AT$28,$AZ$31,FALSE)*100,""),6))</f>
        <v>0.29245199999999999</v>
      </c>
      <c r="DV4" s="727">
        <v>1</v>
      </c>
      <c r="DW4" s="740">
        <f t="shared" ref="DW4:DW27" si="38">GG4</f>
        <v>1</v>
      </c>
      <c r="DX4" s="12" t="s">
        <v>404</v>
      </c>
      <c r="DY4" s="271">
        <f t="shared" ref="DY4:DY28" si="39">VLOOKUP(DW4,$J$4:$Q$28,$DY$34,FALSE)</f>
        <v>0.29191386653553841</v>
      </c>
      <c r="DZ4" s="273">
        <f t="shared" ref="DZ4:DZ28" si="40">DY4*$DZ$29</f>
        <v>1283358.3821870734</v>
      </c>
      <c r="EA4" s="269">
        <f t="shared" ref="EA4:EA28" si="41">IF($AT4=0,0,ROUND(IF(VLOOKUP(DW4,$AQ$4:$AT$28,$AZ$31,FALSE)&lt;&gt;0,DZ4/VLOOKUP(DW4,$AQ$4:$AT$28,$AZ$31,FALSE)*100,""),6))</f>
        <v>0.11126</v>
      </c>
      <c r="EE4" s="264">
        <v>1</v>
      </c>
      <c r="EF4" s="12" t="s">
        <v>384</v>
      </c>
      <c r="EG4" s="273">
        <v>7795048.5251333332</v>
      </c>
      <c r="EH4" s="737">
        <f>EG4/$EG$7</f>
        <v>0.55877783385923419</v>
      </c>
      <c r="EI4" s="273">
        <f>EH4*$EI$7</f>
        <v>8320427.997861933</v>
      </c>
      <c r="EM4" s="727">
        <v>1</v>
      </c>
      <c r="EN4" s="740">
        <f t="shared" ref="EN4:EN27" si="42">FR4</f>
        <v>1</v>
      </c>
      <c r="EO4" s="12" t="s">
        <v>404</v>
      </c>
      <c r="EP4" s="271">
        <f t="shared" ref="EP4:EP28" si="43">VLOOKUP(EN4,$V$4:$Y$28,$EP$34,FALSE)</f>
        <v>0.35537903126887066</v>
      </c>
      <c r="EQ4" s="273">
        <f t="shared" ref="EQ4:EQ28" si="44">EP4*$EQ$29</f>
        <v>2956905.6416225629</v>
      </c>
      <c r="ER4" s="271">
        <f t="shared" ref="ER4:ER28" si="45">VLOOKUP(EN4,$CI$4:$CP$28,$ER$34,FALSE)</f>
        <v>0.34355587729929749</v>
      </c>
      <c r="ES4" s="273">
        <f t="shared" ref="ES4:ES28" si="46">ER4*$ES$29</f>
        <v>375281.66034543066</v>
      </c>
      <c r="ET4" s="271">
        <f t="shared" ref="ET4:ET28" si="47">VLOOKUP(EN4,$J$4:$M$28,$ET$34,FALSE)</f>
        <v>0.51576260231575366</v>
      </c>
      <c r="EU4" s="273">
        <f t="shared" ref="EU4:EU28" si="48">ET4*$EU$29</f>
        <v>2825157.3286475604</v>
      </c>
      <c r="EV4" s="273">
        <f t="shared" ref="EV4:EV28" si="49">EQ4+ES4+EU4</f>
        <v>6157344.6306155538</v>
      </c>
      <c r="EW4" s="271">
        <f t="shared" ref="EW4:EW28" si="50">EV4/$EV$29</f>
        <v>0.41351090303338472</v>
      </c>
      <c r="EX4" s="269">
        <f t="shared" ref="EX4:EX28" si="51">IF($AT4=0,0,ROUND(IF(VLOOKUP(EN4,$AQ$4:$AT$28,$AZ$31,FALSE)&lt;&gt;0,EV4/VLOOKUP(EN4,$AQ$4:$AT$28,$AZ$31,FALSE)*100,""),6))</f>
        <v>0.53380799999999995</v>
      </c>
      <c r="FB4" s="264">
        <v>1</v>
      </c>
      <c r="FC4" s="741" t="s">
        <v>235</v>
      </c>
      <c r="FD4" s="273">
        <f>C11</f>
        <v>23002882.909465492</v>
      </c>
      <c r="FH4" s="727">
        <v>1</v>
      </c>
      <c r="FI4" s="728">
        <f t="shared" ref="FI4:FI28" si="52">FR4</f>
        <v>1</v>
      </c>
      <c r="FJ4" s="12" t="s">
        <v>404</v>
      </c>
      <c r="FK4" s="271">
        <f t="shared" ref="FK4:FK26" si="53">Y4</f>
        <v>0.35537903126887066</v>
      </c>
      <c r="FL4" s="273">
        <f t="shared" ref="FL4:FL28" si="54">Y4*$FL$29</f>
        <v>8063041.0352739105</v>
      </c>
      <c r="FM4" s="269">
        <f t="shared" ref="FM4:FM28" si="55">IF($AT4=0,0,ROUND(IF(VLOOKUP(FI4,$AQ$4:$AT$28,$AZ$31,FALSE)&lt;&gt;0,FL4/VLOOKUP(FI4,$AQ$4:$AT$28,$AZ$31,FALSE)*100,""),6))</f>
        <v>0.69902200000000003</v>
      </c>
      <c r="FQ4" s="264">
        <v>1</v>
      </c>
      <c r="FR4" s="728">
        <v>1</v>
      </c>
      <c r="FS4" s="12" t="s">
        <v>404</v>
      </c>
      <c r="FT4" s="273">
        <f>VLOOKUP(FR4,$AQ$4:$AZ$28,$FT$34,FALSE)</f>
        <v>14962160.443995006</v>
      </c>
      <c r="FU4" s="273">
        <f t="shared" ref="FU4:FU28" si="56">VLOOKUP(FR4,$BL$4:$BS$87,$FU$34,FALSE)</f>
        <v>7843521.787204612</v>
      </c>
      <c r="FV4" s="273">
        <f t="shared" ref="FV4:FV28" si="57">VLOOKUP(FR4,$CI$4:$CQ$28,$FV$34,FALSE)</f>
        <v>9347097.2025726661</v>
      </c>
      <c r="FW4" s="273">
        <f t="shared" ref="FW4:FW28" si="58">VLOOKUP(FR4,$DH$4:$DP$28,$FW$34,FALSE)</f>
        <v>3373354.3627150389</v>
      </c>
      <c r="FX4" s="273">
        <f t="shared" ref="FX4:FX28" si="59">VLOOKUP(FR4,$DW$4:$EA$28,$FX$34,FALSE)</f>
        <v>1283358.3821870734</v>
      </c>
      <c r="FY4" s="273">
        <f t="shared" ref="FY4:FY28" si="60">VLOOKUP(FR4,$EN$4:$EV$29,$FY$35,FALSE)</f>
        <v>6157344.6306155538</v>
      </c>
      <c r="FZ4" s="273">
        <f t="shared" ref="FZ4:FZ28" si="61">VLOOKUP(FR4,$FI$4:$FL$28,$FZ$34,FALSE)</f>
        <v>8063041.0352739105</v>
      </c>
      <c r="GA4" s="273">
        <f t="shared" ref="GA4:GA24" si="62">SUM(FT4:FZ4)</f>
        <v>51029877.844563864</v>
      </c>
      <c r="GB4" s="352">
        <f t="shared" ref="GB4:GB28" si="63">IF($AT4=0,0,ROUND(IF(VLOOKUP(FR4,$AQ$4:$AT$28,$AZ$31,FALSE)&lt;&gt;0,GA4/VLOOKUP(FR4,$AQ$4:$AT$28,$AZ$31,FALSE)*100,""),6))</f>
        <v>4.4240139999999997</v>
      </c>
      <c r="GF4" s="727">
        <v>1</v>
      </c>
      <c r="GG4" s="728">
        <f t="shared" ref="GG4:GG28" si="64">FR4</f>
        <v>1</v>
      </c>
      <c r="GH4" s="12" t="s">
        <v>404</v>
      </c>
      <c r="GI4" s="269">
        <f>VLOOKUP(GG4,$AQ$4:$AZ$28,$GI$32,FALSE)</f>
        <v>1.2971379999999999</v>
      </c>
      <c r="GJ4" s="269">
        <f t="shared" ref="GJ4:GJ28" si="65">VLOOKUP(GG4,$BL$4:$BS$28,$GJ$32,FALSE)</f>
        <v>0.67999100000000001</v>
      </c>
      <c r="GK4" s="269">
        <f t="shared" ref="GK4:GK28" si="66">VLOOKUP(GG4,$CI$4:$CQ$28,$GK$32,FALSE)</f>
        <v>0.81034300000000004</v>
      </c>
      <c r="GL4" s="269">
        <f t="shared" ref="GL4:GL28" si="67">VLOOKUP(GG4,$DH$4:$DR$28,$GL$32,FALSE)</f>
        <v>0.29245199999999999</v>
      </c>
      <c r="GM4" s="269">
        <f t="shared" ref="GM4:GM28" si="68">VLOOKUP(GG4,$DW$4:$EA$28,$GM$32,FALSE)</f>
        <v>0.11126</v>
      </c>
      <c r="GN4" s="269">
        <f t="shared" ref="GN4:GN28" si="69">VLOOKUP(GG4,$EN$4:$EX$29,$GN$32,FALSE)</f>
        <v>0.53380799999999995</v>
      </c>
      <c r="GO4" s="269">
        <f t="shared" ref="GO4:GO28" si="70">VLOOKUP(GG4,$FI$4:$FM$28,$GO$32,FALSE)</f>
        <v>0.69902200000000003</v>
      </c>
      <c r="GP4" s="269">
        <f t="shared" ref="GP4:GP28" si="71">VLOOKUP(GG4,$FR$4:$GB$28,$GP$32,FALSE)</f>
        <v>4.4240139999999997</v>
      </c>
      <c r="GQ4" s="399">
        <v>1153474476</v>
      </c>
      <c r="GR4" s="708"/>
      <c r="GU4" s="264">
        <v>1</v>
      </c>
      <c r="GV4" s="728">
        <f t="shared" ref="GV4:GV28" si="72">FR4</f>
        <v>1</v>
      </c>
      <c r="GW4" s="12" t="s">
        <v>404</v>
      </c>
      <c r="GX4" s="248" t="s">
        <v>385</v>
      </c>
      <c r="GY4" s="273">
        <f t="shared" ref="GY4:GY28" si="73">GA4</f>
        <v>51029877.844563864</v>
      </c>
      <c r="GZ4" s="399">
        <f t="shared" ref="GZ4:GZ28" si="74">VLOOKUP(GV4,$GG$4:$GQ$28,$GZ$35,FALSE)</f>
        <v>1153474476</v>
      </c>
      <c r="HA4" s="352">
        <f>IF(GW4="Specialty Containers",$HA$32,IF(GW4="Sleeve-in-a-Box 0 - 1 Litre",$HA$33,ROUND(IF(GZ4&lt;&gt;0,GY4/GZ4*100,0),6)))</f>
        <v>4.4240139999999997</v>
      </c>
      <c r="HB4" s="273">
        <f t="shared" ref="HB4:HB28" si="75">ROUND(HA4,10)*GZ4/100</f>
        <v>51029872.304666631</v>
      </c>
      <c r="HC4" s="742">
        <f t="shared" ref="HC4:HC28" si="76">HB4-GY4</f>
        <v>-5.539897233247757</v>
      </c>
      <c r="HD4" s="743"/>
      <c r="HG4" s="264">
        <v>1</v>
      </c>
      <c r="HH4" s="12" t="s">
        <v>385</v>
      </c>
      <c r="HI4" s="744">
        <f>SUMIF($GX$4:$GX$28,$HH4,GY$4:GY$28)</f>
        <v>138387702.21008945</v>
      </c>
      <c r="HJ4" s="745">
        <f>HI4/HI$6</f>
        <v>0.98038079311949455</v>
      </c>
      <c r="HK4" s="744">
        <f>SUMIF($GX$4:$GX$28,$HH4,HB$4:HB$28)</f>
        <v>138387698.99606773</v>
      </c>
      <c r="HL4" s="742">
        <f>SUMIF($GX$4:$GX$28,$HH4,HC$4:HC$28)</f>
        <v>-3.214021697217504</v>
      </c>
      <c r="HM4" s="743"/>
      <c r="HP4" s="727">
        <v>1</v>
      </c>
      <c r="HQ4" s="746">
        <f t="shared" ref="HQ4:HQ28" si="77">FR4</f>
        <v>1</v>
      </c>
      <c r="HR4" s="12" t="s">
        <v>404</v>
      </c>
      <c r="HS4" s="399">
        <v>1153474476</v>
      </c>
      <c r="HT4" s="747">
        <f>HA4</f>
        <v>4.4240139999999997</v>
      </c>
      <c r="HU4" s="747">
        <v>4.09</v>
      </c>
      <c r="HV4" s="737">
        <f>IF(HU4&lt;&gt;0,HT4/HU4-1,"")</f>
        <v>8.1666014669926623E-2</v>
      </c>
      <c r="HW4" s="747">
        <f>HT4-HU4</f>
        <v>0.33401399999999981</v>
      </c>
      <c r="HX4" s="739">
        <v>10</v>
      </c>
      <c r="IB4" s="748">
        <f>'Phase I Schedules'!HL26</f>
        <v>2174031039</v>
      </c>
      <c r="IC4" s="748">
        <f>'Phase I Schedules'!JP26</f>
        <v>2236444579</v>
      </c>
      <c r="ID4" s="749">
        <f>(IC4-IB4)/IB4</f>
        <v>2.8708670152523982E-2</v>
      </c>
      <c r="IE4" s="748">
        <v>1500000</v>
      </c>
      <c r="IF4" s="750">
        <f>HT29</f>
        <v>6.3116740622217087</v>
      </c>
      <c r="IG4" s="751">
        <f>IF4*IC4/100</f>
        <v>141157092.40870649</v>
      </c>
      <c r="IH4" s="752">
        <v>1.4999999999999999E-2</v>
      </c>
      <c r="II4" s="748">
        <v>316557815</v>
      </c>
      <c r="IJ4" s="749">
        <f>II4/IC4</f>
        <v>0.14154511941518583</v>
      </c>
      <c r="IK4" s="749">
        <f>SUM(HS14,HS16:HS17,HS23,HS26)/HS29</f>
        <v>1.2995264569889437E-2</v>
      </c>
      <c r="IO4" s="727">
        <v>1</v>
      </c>
      <c r="IP4" s="746">
        <v>1</v>
      </c>
      <c r="IQ4" s="12" t="s">
        <v>404</v>
      </c>
      <c r="IR4" s="753">
        <f>GY4</f>
        <v>51029877.844563864</v>
      </c>
      <c r="IS4" s="754">
        <f>GZ4</f>
        <v>1153474476</v>
      </c>
      <c r="IT4" s="755">
        <f>HA4</f>
        <v>4.4240139999999997</v>
      </c>
      <c r="IU4" s="399">
        <f>IS4*$IJ$4/(1-$IK$4)</f>
        <v>165418337.50842211</v>
      </c>
      <c r="IV4" s="399">
        <f>IS4-IU4</f>
        <v>988056138.49157786</v>
      </c>
      <c r="IW4" s="753">
        <f>IU4*$IH$4</f>
        <v>2481275.0626263316</v>
      </c>
      <c r="IX4" s="753">
        <f>IR4-IW4</f>
        <v>48548602.781937532</v>
      </c>
      <c r="IY4" s="633">
        <f>IX4/IS4*100</f>
        <v>4.2089013491042806</v>
      </c>
      <c r="IZ4" s="633">
        <f>IY4+1.5</f>
        <v>5.7089013491042806</v>
      </c>
      <c r="JA4" s="753">
        <f>(IY4*IV4+IZ4*IU4)/100</f>
        <v>51029877.844563864</v>
      </c>
      <c r="JB4" s="352">
        <f>IT4-IY4</f>
        <v>0.21511265089571907</v>
      </c>
      <c r="JF4" s="727">
        <v>1</v>
      </c>
      <c r="JG4" s="746">
        <f t="shared" ref="JG4:JG28" si="78">FR4</f>
        <v>1</v>
      </c>
      <c r="JH4" s="12" t="s">
        <v>404</v>
      </c>
      <c r="JI4" s="399">
        <v>1153474476</v>
      </c>
      <c r="JJ4" s="747">
        <f>IY4</f>
        <v>4.2089013491042806</v>
      </c>
      <c r="JK4" s="747">
        <v>3.871</v>
      </c>
      <c r="JL4" s="737">
        <f>IF(JK4&lt;&gt;0,JJ4/JK4-1,"")</f>
        <v>8.7290454431485642E-2</v>
      </c>
      <c r="JM4" s="747">
        <f>JJ4-JK4</f>
        <v>0.3379013491042806</v>
      </c>
      <c r="JN4" s="739">
        <v>10</v>
      </c>
    </row>
    <row r="5" spans="1:277" x14ac:dyDescent="0.3">
      <c r="A5" s="264">
        <v>2</v>
      </c>
      <c r="B5" s="756" t="s">
        <v>58</v>
      </c>
      <c r="C5" s="273">
        <f>'Phase I Schedules'!MJ15</f>
        <v>2326746.2074128287</v>
      </c>
      <c r="D5" s="737">
        <f t="shared" si="0"/>
        <v>1.6483381512818106E-2</v>
      </c>
      <c r="E5" s="739">
        <v>0.10403773155215884</v>
      </c>
      <c r="I5" s="264">
        <f>+I4+1</f>
        <v>2</v>
      </c>
      <c r="J5" s="726">
        <f t="shared" si="1"/>
        <v>2</v>
      </c>
      <c r="K5" s="12" t="s">
        <v>405</v>
      </c>
      <c r="L5" s="399">
        <v>894549</v>
      </c>
      <c r="M5" s="271">
        <f t="shared" si="2"/>
        <v>3.9998710828773905E-4</v>
      </c>
      <c r="N5" s="399">
        <v>111</v>
      </c>
      <c r="O5" s="399">
        <f t="shared" ref="O5:O28" si="79">IFERROR(L5/N5,0)</f>
        <v>8059</v>
      </c>
      <c r="P5" s="271">
        <f t="shared" si="3"/>
        <v>4.3727301125636997E-3</v>
      </c>
      <c r="Q5" s="248" t="s">
        <v>385</v>
      </c>
      <c r="U5" s="727">
        <f>+U4+1</f>
        <v>2</v>
      </c>
      <c r="V5" s="728">
        <f t="shared" si="4"/>
        <v>2</v>
      </c>
      <c r="W5" s="12" t="s">
        <v>405</v>
      </c>
      <c r="X5" s="273">
        <f t="shared" ref="X5:X27" si="80">SUM(FT5:FX5)</f>
        <v>233337.81925767977</v>
      </c>
      <c r="Y5" s="271">
        <f t="shared" si="5"/>
        <v>2.2527713168025384E-3</v>
      </c>
      <c r="AC5" s="727">
        <f>+AC4+1</f>
        <v>2</v>
      </c>
      <c r="AD5" s="68">
        <v>2</v>
      </c>
      <c r="AE5" s="275" t="s">
        <v>405</v>
      </c>
      <c r="AF5" s="301">
        <v>15.43</v>
      </c>
      <c r="AJ5" s="727">
        <f>+AJ4+1</f>
        <v>2</v>
      </c>
      <c r="AK5" s="729" t="s">
        <v>386</v>
      </c>
      <c r="AL5" s="757">
        <f>'Phase I Schedules'!AH19+'Phase I Schedules'!AI19</f>
        <v>2100596.67139016</v>
      </c>
      <c r="AM5" s="731"/>
      <c r="AN5" s="732"/>
      <c r="AO5" s="731"/>
      <c r="AP5" s="727">
        <f t="shared" ref="AP5:AP29" si="81">+AP4+1</f>
        <v>2</v>
      </c>
      <c r="AQ5" s="733">
        <f t="shared" si="6"/>
        <v>2</v>
      </c>
      <c r="AR5" s="12" t="s">
        <v>405</v>
      </c>
      <c r="AS5" s="12">
        <f t="shared" si="7"/>
        <v>15.43</v>
      </c>
      <c r="AT5" s="734">
        <v>894549</v>
      </c>
      <c r="AU5" s="734">
        <f>AT5*AS5/3600</f>
        <v>3834.1364083333333</v>
      </c>
      <c r="AV5" s="735">
        <f t="shared" si="8"/>
        <v>3777.4977370747783</v>
      </c>
      <c r="AW5" s="736">
        <f t="shared" si="9"/>
        <v>21.544156020912027</v>
      </c>
      <c r="AX5" s="273">
        <f>AV5*AW5</f>
        <v>81383.000616181147</v>
      </c>
      <c r="AY5" s="271">
        <f t="shared" si="10"/>
        <v>1.7982974973367242E-3</v>
      </c>
      <c r="AZ5" s="269">
        <f t="shared" si="11"/>
        <v>9.0976569999999999</v>
      </c>
      <c r="BD5" s="264">
        <v>2</v>
      </c>
      <c r="BE5" s="531" t="s">
        <v>322</v>
      </c>
      <c r="BF5" s="522">
        <v>0.5</v>
      </c>
      <c r="BG5" s="758">
        <f>BF5*$BG$6</f>
        <v>9267169.4291186817</v>
      </c>
      <c r="BK5" s="264">
        <f>+BK4+1</f>
        <v>2</v>
      </c>
      <c r="BL5" s="248">
        <f t="shared" si="12"/>
        <v>2</v>
      </c>
      <c r="BM5" s="12" t="s">
        <v>405</v>
      </c>
      <c r="BN5" s="271">
        <f t="shared" si="13"/>
        <v>1.7982974973367242E-3</v>
      </c>
      <c r="BO5" s="273">
        <f t="shared" si="14"/>
        <v>16665.127591779525</v>
      </c>
      <c r="BP5" s="271">
        <f t="shared" si="15"/>
        <v>3.9998710828773905E-4</v>
      </c>
      <c r="BQ5" s="273">
        <f t="shared" si="16"/>
        <v>3706.7483019657188</v>
      </c>
      <c r="BR5" s="464">
        <f t="shared" si="17"/>
        <v>20371.875893745244</v>
      </c>
      <c r="BS5" s="269">
        <f t="shared" si="18"/>
        <v>2.2773349999999999</v>
      </c>
      <c r="BW5" s="264">
        <f>+BW4+1</f>
        <v>2</v>
      </c>
      <c r="BX5" s="12" t="s">
        <v>387</v>
      </c>
      <c r="BY5" s="737">
        <v>0.15689208540723823</v>
      </c>
      <c r="BZ5" s="738">
        <f>BY5*$BZ$9</f>
        <v>4268550.3858757159</v>
      </c>
      <c r="CA5" s="739">
        <v>1</v>
      </c>
      <c r="CB5" s="739"/>
      <c r="CC5" s="738">
        <f>CA5*$BZ5</f>
        <v>4268550.3858757159</v>
      </c>
      <c r="CD5" s="738">
        <f t="shared" si="19"/>
        <v>0</v>
      </c>
      <c r="CH5" s="264">
        <f>+CH4+1</f>
        <v>2</v>
      </c>
      <c r="CI5" s="68">
        <f t="shared" si="20"/>
        <v>2</v>
      </c>
      <c r="CJ5" s="12" t="s">
        <v>405</v>
      </c>
      <c r="CK5" s="271">
        <f t="shared" si="21"/>
        <v>3.9998710828773905E-4</v>
      </c>
      <c r="CL5" s="273">
        <f t="shared" si="22"/>
        <v>2510.5788653028458</v>
      </c>
      <c r="CM5" s="271">
        <f t="shared" si="23"/>
        <v>4.3727301125636997E-3</v>
      </c>
      <c r="CN5" s="273">
        <f t="shared" si="24"/>
        <v>91522.423427379879</v>
      </c>
      <c r="CO5" s="273">
        <f t="shared" si="25"/>
        <v>94033.002292682722</v>
      </c>
      <c r="CP5" s="271">
        <f t="shared" si="26"/>
        <v>3.4562163950598236E-3</v>
      </c>
      <c r="CQ5" s="269">
        <f t="shared" si="27"/>
        <v>10.511778</v>
      </c>
      <c r="CU5" s="264">
        <f>+CU4+1</f>
        <v>2</v>
      </c>
      <c r="CV5" s="17" t="s">
        <v>50</v>
      </c>
      <c r="CW5" s="271">
        <v>1</v>
      </c>
      <c r="CX5" s="271">
        <v>0</v>
      </c>
      <c r="CY5" s="429">
        <v>0</v>
      </c>
      <c r="CZ5" s="273">
        <f t="shared" si="28"/>
        <v>314537.33025281783</v>
      </c>
      <c r="DA5" s="273">
        <f t="shared" si="28"/>
        <v>0</v>
      </c>
      <c r="DB5" s="273">
        <f t="shared" si="28"/>
        <v>0</v>
      </c>
      <c r="DC5" s="273">
        <v>314537.33025281783</v>
      </c>
      <c r="DG5" s="727">
        <f>+DG4+1</f>
        <v>2</v>
      </c>
      <c r="DH5" s="740">
        <f t="shared" si="29"/>
        <v>2</v>
      </c>
      <c r="DI5" s="12" t="s">
        <v>405</v>
      </c>
      <c r="DJ5" s="271">
        <f t="shared" si="30"/>
        <v>3.4562163950598236E-3</v>
      </c>
      <c r="DK5" s="273">
        <f t="shared" si="31"/>
        <v>1087.1090776781352</v>
      </c>
      <c r="DL5" s="271">
        <f t="shared" si="32"/>
        <v>4.3727301125636997E-3</v>
      </c>
      <c r="DM5" s="273">
        <f t="shared" si="33"/>
        <v>15509.375463494804</v>
      </c>
      <c r="DN5" s="271">
        <f t="shared" si="34"/>
        <v>3.9998710828773905E-4</v>
      </c>
      <c r="DO5" s="273">
        <f t="shared" si="35"/>
        <v>1729.3611163412065</v>
      </c>
      <c r="DP5" s="273">
        <f t="shared" ref="DP5:DP28" si="82">DK5+DM5+DO5</f>
        <v>18325.845657514146</v>
      </c>
      <c r="DQ5" s="271">
        <f t="shared" si="36"/>
        <v>2.2389768185158147E-3</v>
      </c>
      <c r="DR5" s="269">
        <f t="shared" si="37"/>
        <v>2.048613</v>
      </c>
      <c r="DV5" s="727">
        <f>+DV4+1</f>
        <v>2</v>
      </c>
      <c r="DW5" s="740">
        <f t="shared" si="38"/>
        <v>2</v>
      </c>
      <c r="DX5" s="12" t="s">
        <v>405</v>
      </c>
      <c r="DY5" s="271">
        <f t="shared" si="39"/>
        <v>4.3727301125636997E-3</v>
      </c>
      <c r="DZ5" s="273">
        <f t="shared" si="40"/>
        <v>19224.09479755651</v>
      </c>
      <c r="EA5" s="269">
        <f t="shared" si="41"/>
        <v>2.1490260000000001</v>
      </c>
      <c r="EE5" s="264">
        <v>2</v>
      </c>
      <c r="EF5" s="12" t="s">
        <v>50</v>
      </c>
      <c r="EG5" s="273">
        <v>1023371.0219333332</v>
      </c>
      <c r="EH5" s="737">
        <f>EG5/$EG$7</f>
        <v>7.3359010021100235E-2</v>
      </c>
      <c r="EI5" s="273">
        <f>EH5*$EI$7</f>
        <v>1092345.3363555602</v>
      </c>
      <c r="EM5" s="727">
        <f>+EM4+1</f>
        <v>2</v>
      </c>
      <c r="EN5" s="740">
        <f t="shared" si="42"/>
        <v>2</v>
      </c>
      <c r="EO5" s="12" t="s">
        <v>405</v>
      </c>
      <c r="EP5" s="271">
        <f t="shared" si="43"/>
        <v>2.2527713168025384E-3</v>
      </c>
      <c r="EQ5" s="273">
        <f t="shared" si="44"/>
        <v>18744.021537104134</v>
      </c>
      <c r="ER5" s="271">
        <f t="shared" si="45"/>
        <v>3.4562163950598236E-3</v>
      </c>
      <c r="ES5" s="273">
        <f t="shared" si="46"/>
        <v>3775.3818605792248</v>
      </c>
      <c r="ET5" s="271">
        <f t="shared" si="47"/>
        <v>3.9998710828773905E-4</v>
      </c>
      <c r="EU5" s="273">
        <f t="shared" si="48"/>
        <v>2190.9818689255039</v>
      </c>
      <c r="EV5" s="273">
        <f t="shared" si="49"/>
        <v>24710.385266608864</v>
      </c>
      <c r="EW5" s="271">
        <f t="shared" si="50"/>
        <v>1.6594838098053274E-3</v>
      </c>
      <c r="EX5" s="269">
        <f t="shared" si="51"/>
        <v>2.7623289999999998</v>
      </c>
      <c r="FB5" s="400">
        <v>2</v>
      </c>
      <c r="FC5" s="759" t="s">
        <v>388</v>
      </c>
      <c r="FD5" s="402">
        <f>C12</f>
        <v>-314315.70141989313</v>
      </c>
      <c r="FH5" s="727">
        <f>+FH4+1</f>
        <v>2</v>
      </c>
      <c r="FI5" s="728">
        <f t="shared" si="52"/>
        <v>2</v>
      </c>
      <c r="FJ5" s="12" t="s">
        <v>405</v>
      </c>
      <c r="FK5" s="271">
        <f t="shared" si="53"/>
        <v>2.2527713168025384E-3</v>
      </c>
      <c r="FL5" s="273">
        <f t="shared" si="54"/>
        <v>51112.153425631775</v>
      </c>
      <c r="FM5" s="269">
        <f t="shared" si="55"/>
        <v>5.7137339999999996</v>
      </c>
      <c r="FQ5" s="264">
        <f t="shared" ref="FQ5:FQ29" si="83">+FQ4+1</f>
        <v>2</v>
      </c>
      <c r="FR5" s="728">
        <v>2</v>
      </c>
      <c r="FS5" s="12" t="s">
        <v>405</v>
      </c>
      <c r="FT5" s="273">
        <f t="shared" ref="FT5:FT28" si="84">VLOOKUP(FR5,$AQ$4:$AZ$28,$FT$34,FALSE)</f>
        <v>81383.000616181147</v>
      </c>
      <c r="FU5" s="273">
        <f t="shared" si="56"/>
        <v>20371.875893745244</v>
      </c>
      <c r="FV5" s="273">
        <f t="shared" si="57"/>
        <v>94033.002292682722</v>
      </c>
      <c r="FW5" s="273">
        <f t="shared" si="58"/>
        <v>18325.845657514146</v>
      </c>
      <c r="FX5" s="273">
        <f t="shared" si="59"/>
        <v>19224.09479755651</v>
      </c>
      <c r="FY5" s="273">
        <f t="shared" si="60"/>
        <v>24710.385266608864</v>
      </c>
      <c r="FZ5" s="273">
        <f t="shared" si="61"/>
        <v>51112.153425631775</v>
      </c>
      <c r="GA5" s="273">
        <f t="shared" si="62"/>
        <v>309160.35794992041</v>
      </c>
      <c r="GB5" s="352">
        <f t="shared" si="63"/>
        <v>34.560471999999997</v>
      </c>
      <c r="GF5" s="727">
        <f t="shared" ref="GF5:GF29" si="85">+GF4+1</f>
        <v>2</v>
      </c>
      <c r="GG5" s="728">
        <f t="shared" si="64"/>
        <v>2</v>
      </c>
      <c r="GH5" s="12" t="s">
        <v>405</v>
      </c>
      <c r="GI5" s="269">
        <f t="shared" ref="GI5:GI28" si="86">VLOOKUP(GG5,$AQ$4:$AZ$28,$GI$32,FALSE)</f>
        <v>9.0976569999999999</v>
      </c>
      <c r="GJ5" s="269">
        <f t="shared" si="65"/>
        <v>2.2773349999999999</v>
      </c>
      <c r="GK5" s="269">
        <f t="shared" si="66"/>
        <v>10.511778</v>
      </c>
      <c r="GL5" s="269">
        <f t="shared" si="67"/>
        <v>2.048613</v>
      </c>
      <c r="GM5" s="269">
        <f t="shared" si="68"/>
        <v>2.1490260000000001</v>
      </c>
      <c r="GN5" s="269">
        <f t="shared" si="69"/>
        <v>2.7623289999999998</v>
      </c>
      <c r="GO5" s="269">
        <f t="shared" si="70"/>
        <v>5.7137339999999996</v>
      </c>
      <c r="GP5" s="269">
        <f t="shared" si="71"/>
        <v>34.560471999999997</v>
      </c>
      <c r="GQ5" s="399">
        <v>894549</v>
      </c>
      <c r="GR5" s="708"/>
      <c r="GU5" s="264">
        <f t="shared" ref="GU5:GU29" si="87">+GU4+1</f>
        <v>2</v>
      </c>
      <c r="GV5" s="728">
        <f t="shared" si="72"/>
        <v>2</v>
      </c>
      <c r="GW5" s="12" t="s">
        <v>405</v>
      </c>
      <c r="GX5" s="248" t="s">
        <v>385</v>
      </c>
      <c r="GY5" s="273">
        <f t="shared" si="73"/>
        <v>309160.35794992041</v>
      </c>
      <c r="GZ5" s="399">
        <f t="shared" si="74"/>
        <v>894549</v>
      </c>
      <c r="HA5" s="352">
        <f t="shared" ref="HA5:HA28" si="88">IF(GW5="Specialty Containers",$HA$32,IF(GW5="Sleeve-in-a-Box 0 - 1 Litre",$HA$33,ROUND(IF(GZ5&lt;&gt;0,GY5/GZ5*100,0),6)))</f>
        <v>34.560471999999997</v>
      </c>
      <c r="HB5" s="273">
        <f t="shared" si="75"/>
        <v>309160.35667127999</v>
      </c>
      <c r="HC5" s="742">
        <f t="shared" si="76"/>
        <v>-1.2786404113285244E-3</v>
      </c>
      <c r="HD5" s="743"/>
      <c r="HG5" s="400">
        <v>2</v>
      </c>
      <c r="HH5" s="531" t="s">
        <v>389</v>
      </c>
      <c r="HI5" s="760">
        <f>SUMIF($GX$4:$GX$28,$HH5,GY$4:GY$28)</f>
        <v>2769390.1986170332</v>
      </c>
      <c r="HJ5" s="761">
        <f>HI5/HI$6</f>
        <v>1.9619206880505415E-2</v>
      </c>
      <c r="HK5" s="760">
        <f>SUMIF($GX$4:$GX$28,$HH5,HB$4:HB$28)</f>
        <v>2769390.3087025001</v>
      </c>
      <c r="HL5" s="762">
        <f>SUMIF($GX$4:$GX$28,$HH5,HC$4:HC$28)</f>
        <v>0.11008546678021958</v>
      </c>
      <c r="HM5" s="743"/>
      <c r="HP5" s="727">
        <f>+HP4+1</f>
        <v>2</v>
      </c>
      <c r="HQ5" s="746">
        <f t="shared" si="77"/>
        <v>2</v>
      </c>
      <c r="HR5" s="12" t="s">
        <v>405</v>
      </c>
      <c r="HS5" s="399">
        <v>894549</v>
      </c>
      <c r="HT5" s="747">
        <f t="shared" ref="HT5:HT28" si="89">HA5</f>
        <v>34.560471999999997</v>
      </c>
      <c r="HU5" s="747">
        <v>45.786000000000001</v>
      </c>
      <c r="HV5" s="737">
        <f t="shared" ref="HV5:HV28" si="90">IF(HU5&lt;&gt;0,HT5/HU5-1,"")</f>
        <v>-0.24517380858777804</v>
      </c>
      <c r="HW5" s="747">
        <f t="shared" ref="HW5:HW28" si="91">HT5-HU5</f>
        <v>-11.225528000000004</v>
      </c>
      <c r="HX5" s="739">
        <v>25</v>
      </c>
      <c r="IO5" s="727">
        <f>IO4+1</f>
        <v>2</v>
      </c>
      <c r="IP5" s="746">
        <v>2</v>
      </c>
      <c r="IQ5" s="12" t="s">
        <v>405</v>
      </c>
      <c r="IR5" s="753">
        <f t="shared" ref="IR5:IT28" si="92">GY5</f>
        <v>309160.35794992041</v>
      </c>
      <c r="IS5" s="754">
        <f t="shared" si="92"/>
        <v>894549</v>
      </c>
      <c r="IT5" s="755">
        <f t="shared" si="92"/>
        <v>34.560471999999997</v>
      </c>
      <c r="IU5" s="399">
        <f t="shared" ref="IU5:IU28" si="93">IS5*$IJ$4/(1-$IK$4)</f>
        <v>128286.15758622254</v>
      </c>
      <c r="IV5" s="399">
        <f t="shared" ref="IV5:IV28" si="94">IS5-IU5</f>
        <v>766262.84241377749</v>
      </c>
      <c r="IW5" s="753">
        <f t="shared" ref="IW5:IW28" si="95">IU5*$IH$4</f>
        <v>1924.2923637933382</v>
      </c>
      <c r="IX5" s="753">
        <f t="shared" ref="IX5:IX28" si="96">IR5-IW5</f>
        <v>307236.06558612705</v>
      </c>
      <c r="IY5" s="633">
        <f t="shared" ref="IY5:IY22" si="97">IX5/IS5*100</f>
        <v>34.345359011762021</v>
      </c>
      <c r="IZ5" s="633">
        <f t="shared" ref="IZ5:IZ21" si="98">IY5+1.5</f>
        <v>35.845359011762021</v>
      </c>
      <c r="JA5" s="753">
        <f t="shared" ref="JA5:JA28" si="99">(IY5*IV5+IZ5*IU5)/100</f>
        <v>309160.35794992041</v>
      </c>
      <c r="JB5" s="352">
        <f t="shared" ref="JB5:JB28" si="100">IT5-IY5</f>
        <v>0.21511298823797631</v>
      </c>
      <c r="JF5" s="727">
        <f>+JF4+1</f>
        <v>2</v>
      </c>
      <c r="JG5" s="746">
        <f t="shared" si="78"/>
        <v>2</v>
      </c>
      <c r="JH5" s="12" t="s">
        <v>405</v>
      </c>
      <c r="JI5" s="399">
        <v>894549</v>
      </c>
      <c r="JJ5" s="747">
        <f t="shared" ref="JJ5:JJ28" si="101">IY5</f>
        <v>34.345359011762021</v>
      </c>
      <c r="JK5" s="747">
        <v>45.566000000000003</v>
      </c>
      <c r="JL5" s="737">
        <f>IF(JK5&lt;&gt;0,JJ5/JK5-1,"")</f>
        <v>-0.24625029601540582</v>
      </c>
      <c r="JM5" s="747">
        <f t="shared" ref="JM5:JM29" si="102">JJ5-JK5</f>
        <v>-11.220640988237982</v>
      </c>
      <c r="JN5" s="739">
        <v>25</v>
      </c>
    </row>
    <row r="6" spans="1:277" ht="33.75" thickBot="1" x14ac:dyDescent="0.35">
      <c r="A6" s="722">
        <v>3</v>
      </c>
      <c r="B6" s="723" t="s">
        <v>49</v>
      </c>
      <c r="C6" s="310">
        <f>'Phase I Schedules'!MJ16</f>
        <v>18534338.858237363</v>
      </c>
      <c r="D6" s="724">
        <f t="shared" si="0"/>
        <v>0.1313029231614733</v>
      </c>
      <c r="E6" s="725">
        <v>0.82874125441216062</v>
      </c>
      <c r="I6" s="264">
        <f t="shared" ref="I6:I29" si="103">+I5+1</f>
        <v>3</v>
      </c>
      <c r="J6" s="726">
        <f t="shared" si="1"/>
        <v>3</v>
      </c>
      <c r="K6" s="12" t="s">
        <v>406</v>
      </c>
      <c r="L6" s="399">
        <v>2755433</v>
      </c>
      <c r="M6" s="271">
        <f t="shared" si="2"/>
        <v>1.2320595939972095E-3</v>
      </c>
      <c r="N6" s="399">
        <v>825</v>
      </c>
      <c r="O6" s="399">
        <f t="shared" si="79"/>
        <v>3339.918787878788</v>
      </c>
      <c r="P6" s="271">
        <f t="shared" si="3"/>
        <v>1.8122054172074486E-3</v>
      </c>
      <c r="Q6" s="248" t="s">
        <v>385</v>
      </c>
      <c r="U6" s="727">
        <f t="shared" ref="U6:U29" si="104">+U5+1</f>
        <v>3</v>
      </c>
      <c r="V6" s="728">
        <f t="shared" si="4"/>
        <v>3</v>
      </c>
      <c r="W6" s="12" t="s">
        <v>406</v>
      </c>
      <c r="X6" s="273">
        <f t="shared" si="80"/>
        <v>332954.72494391561</v>
      </c>
      <c r="Y6" s="271">
        <f t="shared" si="5"/>
        <v>3.2145275743715299E-3</v>
      </c>
      <c r="AC6" s="727">
        <f t="shared" ref="AC6:AC28" si="105">+AC5+1</f>
        <v>3</v>
      </c>
      <c r="AD6" s="68">
        <v>3</v>
      </c>
      <c r="AE6" s="275" t="s">
        <v>406</v>
      </c>
      <c r="AF6" s="301">
        <v>13.06</v>
      </c>
      <c r="AJ6" s="727">
        <f>+AJ5+1</f>
        <v>3</v>
      </c>
      <c r="AK6" s="763" t="s">
        <v>390</v>
      </c>
      <c r="AL6" s="764">
        <f>AL4/AL5</f>
        <v>21.544156020912027</v>
      </c>
      <c r="AM6" s="765"/>
      <c r="AN6" s="766"/>
      <c r="AO6" s="765"/>
      <c r="AP6" s="727">
        <f t="shared" si="81"/>
        <v>3</v>
      </c>
      <c r="AQ6" s="733">
        <f t="shared" si="6"/>
        <v>3</v>
      </c>
      <c r="AR6" s="12" t="s">
        <v>406</v>
      </c>
      <c r="AS6" s="12">
        <f t="shared" si="7"/>
        <v>13.06</v>
      </c>
      <c r="AT6" s="734">
        <v>2755433</v>
      </c>
      <c r="AU6" s="734">
        <f t="shared" ref="AU6:AU28" si="106">AT6*AS6/3600</f>
        <v>9996.0986055555568</v>
      </c>
      <c r="AV6" s="735">
        <f t="shared" si="8"/>
        <v>9848.4341297800929</v>
      </c>
      <c r="AW6" s="736">
        <f t="shared" si="9"/>
        <v>21.544156020912027</v>
      </c>
      <c r="AX6" s="273">
        <f>AV6*AW6</f>
        <v>212176.2014536573</v>
      </c>
      <c r="AY6" s="271">
        <f t="shared" si="10"/>
        <v>4.6883984269395556E-3</v>
      </c>
      <c r="AZ6" s="269">
        <f t="shared" si="11"/>
        <v>7.700285</v>
      </c>
      <c r="BD6" s="371">
        <v>3</v>
      </c>
      <c r="BE6" s="513" t="s">
        <v>72</v>
      </c>
      <c r="BF6" s="767">
        <f>SUM(BF4:BF5)</f>
        <v>1</v>
      </c>
      <c r="BG6" s="367">
        <f>C6</f>
        <v>18534338.858237363</v>
      </c>
      <c r="BK6" s="264">
        <f t="shared" ref="BK6:BK29" si="107">+BK5+1</f>
        <v>3</v>
      </c>
      <c r="BL6" s="248">
        <f t="shared" si="12"/>
        <v>3</v>
      </c>
      <c r="BM6" s="12" t="s">
        <v>406</v>
      </c>
      <c r="BN6" s="271">
        <f t="shared" si="13"/>
        <v>4.6883984269395556E-3</v>
      </c>
      <c r="BO6" s="273">
        <f t="shared" si="14"/>
        <v>43448.182573662365</v>
      </c>
      <c r="BP6" s="271">
        <f t="shared" si="15"/>
        <v>1.2320595939972095E-3</v>
      </c>
      <c r="BQ6" s="273">
        <f t="shared" si="16"/>
        <v>11417.705004343314</v>
      </c>
      <c r="BR6" s="464">
        <f t="shared" si="17"/>
        <v>54865.887578005677</v>
      </c>
      <c r="BS6" s="269">
        <f t="shared" si="18"/>
        <v>1.9911890000000001</v>
      </c>
      <c r="BW6" s="264">
        <f>+BW5+1</f>
        <v>3</v>
      </c>
      <c r="BX6" s="12" t="s">
        <v>391</v>
      </c>
      <c r="BY6" s="737">
        <v>0.11787322529902199</v>
      </c>
      <c r="BZ6" s="738">
        <f>BY6*$BZ$9</f>
        <v>3206967.3879887299</v>
      </c>
      <c r="CA6" s="739"/>
      <c r="CB6" s="739">
        <v>1</v>
      </c>
      <c r="CC6" s="738">
        <f t="shared" si="19"/>
        <v>0</v>
      </c>
      <c r="CD6" s="738">
        <f t="shared" si="19"/>
        <v>3206967.3879887299</v>
      </c>
      <c r="CH6" s="264">
        <f t="shared" ref="CH6:CH29" si="108">+CH5+1</f>
        <v>3</v>
      </c>
      <c r="CI6" s="68">
        <f t="shared" si="20"/>
        <v>3</v>
      </c>
      <c r="CJ6" s="12" t="s">
        <v>406</v>
      </c>
      <c r="CK6" s="271">
        <f t="shared" si="21"/>
        <v>1.2320595939972095E-3</v>
      </c>
      <c r="CL6" s="273">
        <f t="shared" si="22"/>
        <v>7733.2061793797957</v>
      </c>
      <c r="CM6" s="271">
        <f t="shared" si="23"/>
        <v>1.8122054172074486E-3</v>
      </c>
      <c r="CN6" s="273">
        <f t="shared" si="24"/>
        <v>37929.949313476085</v>
      </c>
      <c r="CO6" s="273">
        <f t="shared" si="25"/>
        <v>45663.155492855883</v>
      </c>
      <c r="CP6" s="271">
        <f t="shared" si="26"/>
        <v>1.6783654973957544E-3</v>
      </c>
      <c r="CQ6" s="269">
        <f t="shared" si="27"/>
        <v>1.6572039999999999</v>
      </c>
      <c r="CU6" s="400">
        <v>3</v>
      </c>
      <c r="CV6" s="768" t="s">
        <v>383</v>
      </c>
      <c r="CW6" s="522">
        <v>0</v>
      </c>
      <c r="CX6" s="522">
        <v>0</v>
      </c>
      <c r="CY6" s="769">
        <v>1</v>
      </c>
      <c r="CZ6" s="402">
        <f t="shared" si="28"/>
        <v>0</v>
      </c>
      <c r="DA6" s="402">
        <f t="shared" si="28"/>
        <v>0</v>
      </c>
      <c r="DB6" s="402">
        <f t="shared" si="28"/>
        <v>776701.81738672196</v>
      </c>
      <c r="DC6" s="402">
        <v>776701.81738672196</v>
      </c>
      <c r="DG6" s="727">
        <f t="shared" ref="DG6:DG29" si="109">+DG5+1</f>
        <v>3</v>
      </c>
      <c r="DH6" s="740">
        <f t="shared" si="29"/>
        <v>3</v>
      </c>
      <c r="DI6" s="12" t="s">
        <v>406</v>
      </c>
      <c r="DJ6" s="271">
        <f t="shared" si="30"/>
        <v>1.6783654973957544E-3</v>
      </c>
      <c r="DK6" s="273">
        <f t="shared" si="31"/>
        <v>527.90860273930332</v>
      </c>
      <c r="DL6" s="271">
        <f t="shared" si="32"/>
        <v>1.8122054172074486E-3</v>
      </c>
      <c r="DM6" s="273">
        <f t="shared" si="33"/>
        <v>6427.6032384653899</v>
      </c>
      <c r="DN6" s="271">
        <f t="shared" si="34"/>
        <v>1.2320595939972095E-3</v>
      </c>
      <c r="DO6" s="273">
        <f t="shared" si="35"/>
        <v>5326.8615681012443</v>
      </c>
      <c r="DP6" s="273">
        <f t="shared" si="82"/>
        <v>12282.373409305937</v>
      </c>
      <c r="DQ6" s="271">
        <f t="shared" si="36"/>
        <v>1.5006101139193675E-3</v>
      </c>
      <c r="DR6" s="269">
        <f t="shared" si="37"/>
        <v>0.44575100000000001</v>
      </c>
      <c r="DV6" s="727">
        <f t="shared" ref="DV6:DV29" si="110">+DV5+1</f>
        <v>3</v>
      </c>
      <c r="DW6" s="740">
        <f t="shared" si="38"/>
        <v>3</v>
      </c>
      <c r="DX6" s="12" t="s">
        <v>406</v>
      </c>
      <c r="DY6" s="271">
        <f t="shared" si="39"/>
        <v>1.8122054172074486E-3</v>
      </c>
      <c r="DZ6" s="273">
        <f t="shared" si="40"/>
        <v>7967.1070100908119</v>
      </c>
      <c r="EA6" s="269">
        <f t="shared" si="41"/>
        <v>0.28914200000000001</v>
      </c>
      <c r="EE6" s="400">
        <v>3</v>
      </c>
      <c r="EF6" s="531" t="s">
        <v>171</v>
      </c>
      <c r="EG6" s="402">
        <v>5131755.3753999993</v>
      </c>
      <c r="EH6" s="770">
        <f>EG6/$EG$7</f>
        <v>0.36786315611966564</v>
      </c>
      <c r="EI6" s="402">
        <f>EH6*$EI$7</f>
        <v>5477631.212427415</v>
      </c>
      <c r="EM6" s="727">
        <f t="shared" ref="EM6:EM29" si="111">+EM5+1</f>
        <v>3</v>
      </c>
      <c r="EN6" s="740">
        <f t="shared" si="42"/>
        <v>3</v>
      </c>
      <c r="EO6" s="12" t="s">
        <v>406</v>
      </c>
      <c r="EP6" s="271">
        <f t="shared" si="43"/>
        <v>3.2145275743715299E-3</v>
      </c>
      <c r="EQ6" s="273">
        <f t="shared" si="44"/>
        <v>26746.245229700085</v>
      </c>
      <c r="ER6" s="271">
        <f t="shared" si="45"/>
        <v>1.6783654973957544E-3</v>
      </c>
      <c r="ES6" s="273">
        <f t="shared" si="46"/>
        <v>1833.3547237803325</v>
      </c>
      <c r="ET6" s="271">
        <f t="shared" si="47"/>
        <v>1.2320595939972095E-3</v>
      </c>
      <c r="EU6" s="273">
        <f t="shared" si="48"/>
        <v>6748.7680876497634</v>
      </c>
      <c r="EV6" s="273">
        <f t="shared" si="49"/>
        <v>35328.368041130183</v>
      </c>
      <c r="EW6" s="271">
        <f t="shared" si="50"/>
        <v>2.372559317005953E-3</v>
      </c>
      <c r="EX6" s="269">
        <f t="shared" si="51"/>
        <v>1.282135</v>
      </c>
      <c r="FB6" s="360">
        <v>3</v>
      </c>
      <c r="FC6" s="771" t="s">
        <v>392</v>
      </c>
      <c r="FD6" s="363">
        <f>SUM(FD4:FD5)</f>
        <v>22688567.208045598</v>
      </c>
      <c r="FH6" s="727">
        <f t="shared" ref="FH6:FH29" si="112">+FH5+1</f>
        <v>3</v>
      </c>
      <c r="FI6" s="728">
        <f t="shared" si="52"/>
        <v>3</v>
      </c>
      <c r="FJ6" s="12" t="s">
        <v>406</v>
      </c>
      <c r="FK6" s="271">
        <f t="shared" si="53"/>
        <v>3.2145275743715299E-3</v>
      </c>
      <c r="FL6" s="273">
        <f t="shared" si="54"/>
        <v>72933.024913244255</v>
      </c>
      <c r="FM6" s="269">
        <f t="shared" si="55"/>
        <v>2.646881</v>
      </c>
      <c r="FQ6" s="264">
        <f t="shared" si="83"/>
        <v>3</v>
      </c>
      <c r="FR6" s="728">
        <v>3</v>
      </c>
      <c r="FS6" s="12" t="s">
        <v>406</v>
      </c>
      <c r="FT6" s="273">
        <f t="shared" si="84"/>
        <v>212176.2014536573</v>
      </c>
      <c r="FU6" s="273">
        <f t="shared" si="56"/>
        <v>54865.887578005677</v>
      </c>
      <c r="FV6" s="273">
        <f t="shared" si="57"/>
        <v>45663.155492855883</v>
      </c>
      <c r="FW6" s="273">
        <f t="shared" si="58"/>
        <v>12282.373409305937</v>
      </c>
      <c r="FX6" s="273">
        <f t="shared" si="59"/>
        <v>7967.1070100908119</v>
      </c>
      <c r="FY6" s="273">
        <f t="shared" si="60"/>
        <v>35328.368041130183</v>
      </c>
      <c r="FZ6" s="273">
        <f t="shared" si="61"/>
        <v>72933.024913244255</v>
      </c>
      <c r="GA6" s="273">
        <f t="shared" si="62"/>
        <v>441216.11789829005</v>
      </c>
      <c r="GB6" s="352">
        <f t="shared" si="63"/>
        <v>16.012587</v>
      </c>
      <c r="GF6" s="727">
        <f t="shared" si="85"/>
        <v>3</v>
      </c>
      <c r="GG6" s="728">
        <f t="shared" si="64"/>
        <v>3</v>
      </c>
      <c r="GH6" s="12" t="s">
        <v>406</v>
      </c>
      <c r="GI6" s="269">
        <f t="shared" si="86"/>
        <v>7.700285</v>
      </c>
      <c r="GJ6" s="269">
        <f t="shared" si="65"/>
        <v>1.9911890000000001</v>
      </c>
      <c r="GK6" s="269">
        <f t="shared" si="66"/>
        <v>1.6572039999999999</v>
      </c>
      <c r="GL6" s="269">
        <f t="shared" si="67"/>
        <v>0.44575100000000001</v>
      </c>
      <c r="GM6" s="269">
        <f t="shared" si="68"/>
        <v>0.28914200000000001</v>
      </c>
      <c r="GN6" s="269">
        <f t="shared" si="69"/>
        <v>1.282135</v>
      </c>
      <c r="GO6" s="269">
        <f t="shared" si="70"/>
        <v>2.646881</v>
      </c>
      <c r="GP6" s="269">
        <f t="shared" si="71"/>
        <v>16.012587</v>
      </c>
      <c r="GQ6" s="399">
        <v>2755433</v>
      </c>
      <c r="GR6" s="708"/>
      <c r="GU6" s="264">
        <f t="shared" si="87"/>
        <v>3</v>
      </c>
      <c r="GV6" s="728">
        <f t="shared" si="72"/>
        <v>3</v>
      </c>
      <c r="GW6" s="12" t="s">
        <v>406</v>
      </c>
      <c r="GX6" s="248" t="s">
        <v>385</v>
      </c>
      <c r="GY6" s="273">
        <f t="shared" si="73"/>
        <v>441216.11789829005</v>
      </c>
      <c r="GZ6" s="399">
        <f t="shared" si="74"/>
        <v>2755433</v>
      </c>
      <c r="HA6" s="352">
        <f t="shared" si="88"/>
        <v>16.012587</v>
      </c>
      <c r="HB6" s="273">
        <f t="shared" si="75"/>
        <v>441216.10635170998</v>
      </c>
      <c r="HC6" s="742">
        <f t="shared" si="76"/>
        <v>-1.1546580062713474E-2</v>
      </c>
      <c r="HD6" s="772"/>
      <c r="HG6" s="360">
        <v>3</v>
      </c>
      <c r="HH6" s="773" t="s">
        <v>89</v>
      </c>
      <c r="HI6" s="774">
        <f>SUM(HI4:HI5)</f>
        <v>141157092.40870649</v>
      </c>
      <c r="HJ6" s="775">
        <f>SUM(HJ4:HJ5)</f>
        <v>1</v>
      </c>
      <c r="HK6" s="774">
        <f>SUM(HK4:HK5)</f>
        <v>141157089.30477023</v>
      </c>
      <c r="HL6" s="776">
        <f>SUM(HL4:HL5)</f>
        <v>-3.1039362304372844</v>
      </c>
      <c r="HM6" s="772"/>
      <c r="HP6" s="727">
        <f t="shared" ref="HP6:HP29" si="113">+HP5+1</f>
        <v>3</v>
      </c>
      <c r="HQ6" s="746">
        <f t="shared" si="77"/>
        <v>3</v>
      </c>
      <c r="HR6" s="12" t="s">
        <v>406</v>
      </c>
      <c r="HS6" s="399">
        <v>2755433</v>
      </c>
      <c r="HT6" s="747">
        <f t="shared" si="89"/>
        <v>16.012587</v>
      </c>
      <c r="HU6" s="747">
        <v>9.8089999999999993</v>
      </c>
      <c r="HV6" s="737">
        <f>IF(HU6&lt;&gt;0,HT6/HU6-1,"")</f>
        <v>0.63243827097563465</v>
      </c>
      <c r="HW6" s="747">
        <f t="shared" si="91"/>
        <v>6.2035870000000006</v>
      </c>
      <c r="HX6" s="739">
        <v>10</v>
      </c>
      <c r="IO6" s="727">
        <f t="shared" ref="IO6:IO29" si="114">IO5+1</f>
        <v>3</v>
      </c>
      <c r="IP6" s="746">
        <v>3</v>
      </c>
      <c r="IQ6" s="12" t="s">
        <v>406</v>
      </c>
      <c r="IR6" s="753">
        <f t="shared" si="92"/>
        <v>441216.11789829005</v>
      </c>
      <c r="IS6" s="754">
        <f t="shared" si="92"/>
        <v>2755433</v>
      </c>
      <c r="IT6" s="755">
        <f t="shared" si="92"/>
        <v>16.012587</v>
      </c>
      <c r="IU6" s="399">
        <f t="shared" si="93"/>
        <v>395153.21358167968</v>
      </c>
      <c r="IV6" s="399">
        <f t="shared" si="94"/>
        <v>2360279.7864183201</v>
      </c>
      <c r="IW6" s="753">
        <f t="shared" si="95"/>
        <v>5927.298203725195</v>
      </c>
      <c r="IX6" s="753">
        <f t="shared" si="96"/>
        <v>435288.81969456485</v>
      </c>
      <c r="IY6" s="633">
        <f t="shared" si="97"/>
        <v>15.797474287872898</v>
      </c>
      <c r="IZ6" s="633">
        <f t="shared" si="98"/>
        <v>17.297474287872898</v>
      </c>
      <c r="JA6" s="753">
        <f t="shared" si="99"/>
        <v>441216.11789828999</v>
      </c>
      <c r="JB6" s="352">
        <f t="shared" si="100"/>
        <v>0.2151127121271017</v>
      </c>
      <c r="JF6" s="727">
        <f t="shared" ref="JF6:JF29" si="115">+JF5+1</f>
        <v>3</v>
      </c>
      <c r="JG6" s="746">
        <f t="shared" si="78"/>
        <v>3</v>
      </c>
      <c r="JH6" s="12" t="s">
        <v>406</v>
      </c>
      <c r="JI6" s="399">
        <v>2755433</v>
      </c>
      <c r="JJ6" s="747">
        <f t="shared" si="101"/>
        <v>15.797474287872898</v>
      </c>
      <c r="JK6" s="747">
        <v>9.5890000000000004</v>
      </c>
      <c r="JL6" s="737">
        <f>IF(JK6&lt;&gt;0,JJ6/JK6-1,"")</f>
        <v>0.64745795055510458</v>
      </c>
      <c r="JM6" s="747">
        <f t="shared" si="102"/>
        <v>6.2084742878728978</v>
      </c>
      <c r="JN6" s="739">
        <v>10</v>
      </c>
    </row>
    <row r="7" spans="1:277" ht="17.25" thickBot="1" x14ac:dyDescent="0.35">
      <c r="A7" s="264">
        <v>4</v>
      </c>
      <c r="B7" s="741" t="s">
        <v>50</v>
      </c>
      <c r="C7" s="273">
        <f>'Phase I Schedules'!MJ17</f>
        <v>27206919.806031119</v>
      </c>
      <c r="D7" s="737">
        <f t="shared" si="0"/>
        <v>0.19274213815099114</v>
      </c>
      <c r="E7" s="739">
        <v>1.2165255540647635</v>
      </c>
      <c r="I7" s="264">
        <f t="shared" si="103"/>
        <v>4</v>
      </c>
      <c r="J7" s="726">
        <f t="shared" si="1"/>
        <v>4</v>
      </c>
      <c r="K7" s="12" t="s">
        <v>407</v>
      </c>
      <c r="L7" s="399">
        <v>329710</v>
      </c>
      <c r="M7" s="271">
        <f t="shared" si="2"/>
        <v>1.4742596489801055E-4</v>
      </c>
      <c r="N7" s="399">
        <v>170</v>
      </c>
      <c r="O7" s="399">
        <f t="shared" si="79"/>
        <v>1939.4705882352941</v>
      </c>
      <c r="P7" s="271">
        <f t="shared" si="3"/>
        <v>1.0523366973083637E-3</v>
      </c>
      <c r="Q7" s="248" t="s">
        <v>385</v>
      </c>
      <c r="U7" s="727">
        <f t="shared" si="104"/>
        <v>4</v>
      </c>
      <c r="V7" s="728">
        <f t="shared" si="4"/>
        <v>4</v>
      </c>
      <c r="W7" s="12" t="s">
        <v>407</v>
      </c>
      <c r="X7" s="273">
        <f t="shared" si="80"/>
        <v>80233.107684785922</v>
      </c>
      <c r="Y7" s="271">
        <f t="shared" si="5"/>
        <v>7.7461443766478578E-4</v>
      </c>
      <c r="AC7" s="727">
        <f t="shared" si="105"/>
        <v>4</v>
      </c>
      <c r="AD7" s="68">
        <v>4</v>
      </c>
      <c r="AE7" s="275" t="s">
        <v>407</v>
      </c>
      <c r="AF7" s="301">
        <v>19.920000000000002</v>
      </c>
      <c r="AJ7" s="777">
        <f>+AJ6+1</f>
        <v>4</v>
      </c>
      <c r="AK7" s="778" t="s">
        <v>393</v>
      </c>
      <c r="AL7" s="779">
        <f>AU29*3600/AT29</f>
        <v>3.432024506523665</v>
      </c>
      <c r="AP7" s="727">
        <f t="shared" si="81"/>
        <v>4</v>
      </c>
      <c r="AQ7" s="733">
        <f t="shared" si="6"/>
        <v>4</v>
      </c>
      <c r="AR7" s="12" t="s">
        <v>407</v>
      </c>
      <c r="AS7" s="12">
        <f t="shared" si="7"/>
        <v>19.920000000000002</v>
      </c>
      <c r="AT7" s="734">
        <v>329710</v>
      </c>
      <c r="AU7" s="734">
        <f t="shared" si="106"/>
        <v>1824.3953333333334</v>
      </c>
      <c r="AV7" s="735">
        <f t="shared" si="8"/>
        <v>1797.4449808874158</v>
      </c>
      <c r="AW7" s="736">
        <f t="shared" si="9"/>
        <v>21.544156020912027</v>
      </c>
      <c r="AX7" s="273">
        <f t="shared" ref="AX7:AX28" si="116">AV7*AW7</f>
        <v>38724.43510724372</v>
      </c>
      <c r="AY7" s="271">
        <f t="shared" si="10"/>
        <v>8.5568305680398847E-4</v>
      </c>
      <c r="AZ7" s="269">
        <f t="shared" si="11"/>
        <v>11.744999</v>
      </c>
      <c r="BK7" s="264">
        <f t="shared" si="107"/>
        <v>4</v>
      </c>
      <c r="BL7" s="248">
        <f t="shared" si="12"/>
        <v>4</v>
      </c>
      <c r="BM7" s="12" t="s">
        <v>407</v>
      </c>
      <c r="BN7" s="271">
        <f t="shared" si="13"/>
        <v>8.5568305680398847E-4</v>
      </c>
      <c r="BO7" s="273">
        <f t="shared" si="14"/>
        <v>7929.7598650287464</v>
      </c>
      <c r="BP7" s="271">
        <f t="shared" si="15"/>
        <v>1.4742596489801055E-4</v>
      </c>
      <c r="BQ7" s="273">
        <f t="shared" si="16"/>
        <v>1366.2213949611673</v>
      </c>
      <c r="BR7" s="464">
        <f t="shared" si="17"/>
        <v>9295.9812599899142</v>
      </c>
      <c r="BS7" s="269">
        <f t="shared" si="18"/>
        <v>2.819442</v>
      </c>
      <c r="BW7" s="264">
        <f>+BW6+1</f>
        <v>4</v>
      </c>
      <c r="BX7" s="12" t="s">
        <v>394</v>
      </c>
      <c r="BY7" s="737">
        <v>0.27548486360459606</v>
      </c>
      <c r="BZ7" s="738">
        <f>BY7*$BZ$9</f>
        <v>7495094.5918656662</v>
      </c>
      <c r="CA7" s="739"/>
      <c r="CB7" s="739">
        <v>1</v>
      </c>
      <c r="CC7" s="738">
        <f t="shared" si="19"/>
        <v>0</v>
      </c>
      <c r="CD7" s="738">
        <f t="shared" si="19"/>
        <v>7495094.5918656662</v>
      </c>
      <c r="CH7" s="264">
        <f t="shared" si="108"/>
        <v>4</v>
      </c>
      <c r="CI7" s="68">
        <f t="shared" si="20"/>
        <v>4</v>
      </c>
      <c r="CJ7" s="12" t="s">
        <v>407</v>
      </c>
      <c r="CK7" s="271">
        <f t="shared" si="21"/>
        <v>1.4742596489801055E-4</v>
      </c>
      <c r="CL7" s="273">
        <f t="shared" si="22"/>
        <v>925.34110225264499</v>
      </c>
      <c r="CM7" s="271">
        <f t="shared" si="23"/>
        <v>1.0523366973083637E-3</v>
      </c>
      <c r="CN7" s="273">
        <f t="shared" si="24"/>
        <v>22025.691574813267</v>
      </c>
      <c r="CO7" s="273">
        <f t="shared" si="25"/>
        <v>22951.032677065912</v>
      </c>
      <c r="CP7" s="271">
        <f t="shared" si="26"/>
        <v>8.4357335709785825E-4</v>
      </c>
      <c r="CQ7" s="269">
        <f t="shared" si="27"/>
        <v>6.9609759999999996</v>
      </c>
      <c r="CU7" s="360">
        <v>4</v>
      </c>
      <c r="CV7" s="773" t="s">
        <v>72</v>
      </c>
      <c r="CW7" s="598"/>
      <c r="CX7" s="598"/>
      <c r="CY7" s="780"/>
      <c r="CZ7" s="363">
        <f>SUM(CZ4:CZ6)</f>
        <v>314537.33025281783</v>
      </c>
      <c r="DA7" s="363">
        <f>SUM(DA4:DA6)</f>
        <v>3546840.318119192</v>
      </c>
      <c r="DB7" s="363">
        <f>SUM(DB4:DB6)</f>
        <v>4323542.1355059138</v>
      </c>
      <c r="DC7" s="363">
        <f>SUM(DC4:DC6)</f>
        <v>8184919.7838779241</v>
      </c>
      <c r="DG7" s="727">
        <f t="shared" si="109"/>
        <v>4</v>
      </c>
      <c r="DH7" s="740">
        <f t="shared" si="29"/>
        <v>4</v>
      </c>
      <c r="DI7" s="12" t="s">
        <v>407</v>
      </c>
      <c r="DJ7" s="271">
        <f t="shared" si="30"/>
        <v>8.4357335709785825E-4</v>
      </c>
      <c r="DK7" s="273">
        <f t="shared" si="31"/>
        <v>265.33531161396729</v>
      </c>
      <c r="DL7" s="271">
        <f t="shared" si="32"/>
        <v>1.0523366973083637E-3</v>
      </c>
      <c r="DM7" s="273">
        <f t="shared" si="33"/>
        <v>3732.4702262496967</v>
      </c>
      <c r="DN7" s="271">
        <f t="shared" si="34"/>
        <v>1.4742596489801055E-4</v>
      </c>
      <c r="DO7" s="273">
        <f t="shared" si="35"/>
        <v>637.40237110416444</v>
      </c>
      <c r="DP7" s="273">
        <f t="shared" si="82"/>
        <v>4635.2079089678282</v>
      </c>
      <c r="DQ7" s="271">
        <f t="shared" si="36"/>
        <v>5.6631073136451896E-4</v>
      </c>
      <c r="DR7" s="269">
        <f t="shared" si="37"/>
        <v>1.4058440000000001</v>
      </c>
      <c r="DV7" s="727">
        <f t="shared" si="110"/>
        <v>4</v>
      </c>
      <c r="DW7" s="740">
        <f t="shared" si="38"/>
        <v>4</v>
      </c>
      <c r="DX7" s="12" t="s">
        <v>407</v>
      </c>
      <c r="DY7" s="271">
        <f t="shared" si="39"/>
        <v>1.0523366973083637E-3</v>
      </c>
      <c r="DZ7" s="273">
        <f t="shared" si="40"/>
        <v>4626.4507315185483</v>
      </c>
      <c r="EA7" s="269">
        <f t="shared" si="41"/>
        <v>1.4031880000000001</v>
      </c>
      <c r="EE7" s="360">
        <v>4</v>
      </c>
      <c r="EF7" s="513" t="s">
        <v>72</v>
      </c>
      <c r="EG7" s="363">
        <f>SUM(EG4:EG6)</f>
        <v>13950174.922466666</v>
      </c>
      <c r="EH7" s="781">
        <f>EG7/$EG$7</f>
        <v>1</v>
      </c>
      <c r="EI7" s="363">
        <f>C10</f>
        <v>14890404.546644907</v>
      </c>
      <c r="EM7" s="727">
        <f t="shared" si="111"/>
        <v>4</v>
      </c>
      <c r="EN7" s="740">
        <f t="shared" si="42"/>
        <v>4</v>
      </c>
      <c r="EO7" s="12" t="s">
        <v>407</v>
      </c>
      <c r="EP7" s="271">
        <f t="shared" si="43"/>
        <v>7.7461443766478578E-4</v>
      </c>
      <c r="EQ7" s="273">
        <f t="shared" si="44"/>
        <v>6445.1236546941609</v>
      </c>
      <c r="ER7" s="271">
        <f t="shared" si="45"/>
        <v>8.4357335709785825E-4</v>
      </c>
      <c r="ES7" s="273">
        <f t="shared" si="46"/>
        <v>921.47342249964913</v>
      </c>
      <c r="ET7" s="271">
        <f t="shared" si="47"/>
        <v>1.4742596489801055E-4</v>
      </c>
      <c r="EU7" s="273">
        <f t="shared" si="48"/>
        <v>807.54506684757109</v>
      </c>
      <c r="EV7" s="273">
        <f t="shared" si="49"/>
        <v>8174.1421440413815</v>
      </c>
      <c r="EW7" s="271">
        <f t="shared" si="50"/>
        <v>5.4895366465266193E-4</v>
      </c>
      <c r="EX7" s="269">
        <f t="shared" si="51"/>
        <v>2.4791910000000001</v>
      </c>
      <c r="FD7" s="5"/>
      <c r="FH7" s="727">
        <f t="shared" si="112"/>
        <v>4</v>
      </c>
      <c r="FI7" s="728">
        <f t="shared" si="52"/>
        <v>4</v>
      </c>
      <c r="FJ7" s="12" t="s">
        <v>407</v>
      </c>
      <c r="FK7" s="271">
        <f t="shared" si="53"/>
        <v>7.7461443766478578E-4</v>
      </c>
      <c r="FL7" s="273">
        <f t="shared" si="54"/>
        <v>17574.891729279942</v>
      </c>
      <c r="FM7" s="269">
        <f t="shared" si="55"/>
        <v>5.3304090000000004</v>
      </c>
      <c r="FQ7" s="264">
        <f t="shared" si="83"/>
        <v>4</v>
      </c>
      <c r="FR7" s="728">
        <v>4</v>
      </c>
      <c r="FS7" s="12" t="s">
        <v>407</v>
      </c>
      <c r="FT7" s="273">
        <f t="shared" si="84"/>
        <v>38724.43510724372</v>
      </c>
      <c r="FU7" s="273">
        <f t="shared" si="56"/>
        <v>9295.9812599899142</v>
      </c>
      <c r="FV7" s="273">
        <f t="shared" si="57"/>
        <v>22951.032677065912</v>
      </c>
      <c r="FW7" s="273">
        <f t="shared" si="58"/>
        <v>4635.2079089678282</v>
      </c>
      <c r="FX7" s="273">
        <f t="shared" si="59"/>
        <v>4626.4507315185483</v>
      </c>
      <c r="FY7" s="273">
        <f t="shared" si="60"/>
        <v>8174.1421440413815</v>
      </c>
      <c r="FZ7" s="273">
        <f t="shared" si="61"/>
        <v>17574.891729279942</v>
      </c>
      <c r="GA7" s="273">
        <f t="shared" si="62"/>
        <v>105982.14155810725</v>
      </c>
      <c r="GB7" s="352">
        <f t="shared" si="63"/>
        <v>32.144047999999998</v>
      </c>
      <c r="GF7" s="727">
        <f t="shared" si="85"/>
        <v>4</v>
      </c>
      <c r="GG7" s="728">
        <f t="shared" si="64"/>
        <v>4</v>
      </c>
      <c r="GH7" s="12" t="s">
        <v>407</v>
      </c>
      <c r="GI7" s="269">
        <f t="shared" si="86"/>
        <v>11.744999</v>
      </c>
      <c r="GJ7" s="269">
        <f t="shared" si="65"/>
        <v>2.819442</v>
      </c>
      <c r="GK7" s="269">
        <f t="shared" si="66"/>
        <v>6.9609759999999996</v>
      </c>
      <c r="GL7" s="269">
        <f t="shared" si="67"/>
        <v>1.4058440000000001</v>
      </c>
      <c r="GM7" s="269">
        <f t="shared" si="68"/>
        <v>1.4031880000000001</v>
      </c>
      <c r="GN7" s="269">
        <f t="shared" si="69"/>
        <v>2.4791910000000001</v>
      </c>
      <c r="GO7" s="269">
        <f t="shared" si="70"/>
        <v>5.3304090000000004</v>
      </c>
      <c r="GP7" s="269">
        <f t="shared" si="71"/>
        <v>32.144047999999998</v>
      </c>
      <c r="GQ7" s="399">
        <v>329710</v>
      </c>
      <c r="GR7" s="708"/>
      <c r="GU7" s="264">
        <f t="shared" si="87"/>
        <v>4</v>
      </c>
      <c r="GV7" s="728">
        <f t="shared" si="72"/>
        <v>4</v>
      </c>
      <c r="GW7" s="12" t="s">
        <v>407</v>
      </c>
      <c r="GX7" s="248" t="s">
        <v>385</v>
      </c>
      <c r="GY7" s="273">
        <f t="shared" si="73"/>
        <v>105982.14155810725</v>
      </c>
      <c r="GZ7" s="399">
        <f t="shared" si="74"/>
        <v>329710</v>
      </c>
      <c r="HA7" s="352">
        <f t="shared" si="88"/>
        <v>32.144047999999998</v>
      </c>
      <c r="HB7" s="273">
        <f t="shared" si="75"/>
        <v>105982.1406608</v>
      </c>
      <c r="HC7" s="742">
        <f t="shared" si="76"/>
        <v>-8.9730725449044257E-4</v>
      </c>
      <c r="HD7" s="743"/>
      <c r="HG7" s="743"/>
      <c r="HH7" s="743"/>
      <c r="HI7" s="743"/>
      <c r="HJ7" s="743"/>
      <c r="HK7" s="743"/>
      <c r="HL7" s="743"/>
      <c r="HM7" s="743"/>
      <c r="HP7" s="727">
        <f t="shared" si="113"/>
        <v>4</v>
      </c>
      <c r="HQ7" s="746">
        <f t="shared" si="77"/>
        <v>4</v>
      </c>
      <c r="HR7" s="12" t="s">
        <v>407</v>
      </c>
      <c r="HS7" s="399">
        <v>329710</v>
      </c>
      <c r="HT7" s="747">
        <f t="shared" si="89"/>
        <v>32.144047999999998</v>
      </c>
      <c r="HU7" s="747">
        <v>21.385000000000002</v>
      </c>
      <c r="HV7" s="737">
        <f t="shared" si="90"/>
        <v>0.50311190086509217</v>
      </c>
      <c r="HW7" s="747">
        <f t="shared" si="91"/>
        <v>10.759047999999996</v>
      </c>
      <c r="HX7" s="739">
        <v>25</v>
      </c>
      <c r="IO7" s="727">
        <f t="shared" si="114"/>
        <v>4</v>
      </c>
      <c r="IP7" s="746">
        <v>4</v>
      </c>
      <c r="IQ7" s="12" t="s">
        <v>407</v>
      </c>
      <c r="IR7" s="753">
        <f t="shared" si="92"/>
        <v>105982.14155810725</v>
      </c>
      <c r="IS7" s="754">
        <f t="shared" si="92"/>
        <v>329710</v>
      </c>
      <c r="IT7" s="755">
        <f t="shared" si="92"/>
        <v>32.144047999999998</v>
      </c>
      <c r="IU7" s="399">
        <f t="shared" si="93"/>
        <v>47283.300319773916</v>
      </c>
      <c r="IV7" s="399">
        <f t="shared" si="94"/>
        <v>282426.6996802261</v>
      </c>
      <c r="IW7" s="753">
        <f t="shared" si="95"/>
        <v>709.24950479660868</v>
      </c>
      <c r="IX7" s="753">
        <f t="shared" si="96"/>
        <v>105272.89205331064</v>
      </c>
      <c r="IY7" s="633">
        <f t="shared" si="97"/>
        <v>31.928935140975597</v>
      </c>
      <c r="IZ7" s="633">
        <f t="shared" si="98"/>
        <v>33.428935140975597</v>
      </c>
      <c r="JA7" s="753">
        <f t="shared" si="99"/>
        <v>105982.14155810725</v>
      </c>
      <c r="JB7" s="352">
        <f t="shared" si="100"/>
        <v>0.21511285902440136</v>
      </c>
      <c r="JF7" s="727">
        <f t="shared" si="115"/>
        <v>4</v>
      </c>
      <c r="JG7" s="746">
        <f t="shared" si="78"/>
        <v>4</v>
      </c>
      <c r="JH7" s="12" t="s">
        <v>407</v>
      </c>
      <c r="JI7" s="399">
        <v>329710</v>
      </c>
      <c r="JJ7" s="747">
        <f t="shared" si="101"/>
        <v>31.928935140975597</v>
      </c>
      <c r="JK7" s="747">
        <v>21.166</v>
      </c>
      <c r="JL7" s="737">
        <f t="shared" ref="JL7:JL28" si="117">IF(JK7&lt;&gt;0,JJ7/JK7-1,"")</f>
        <v>0.50850114055445506</v>
      </c>
      <c r="JM7" s="747">
        <f t="shared" si="102"/>
        <v>10.762935140975596</v>
      </c>
      <c r="JN7" s="739">
        <v>25</v>
      </c>
    </row>
    <row r="8" spans="1:277" x14ac:dyDescent="0.3">
      <c r="A8" s="722">
        <v>5</v>
      </c>
      <c r="B8" s="723" t="s">
        <v>53</v>
      </c>
      <c r="C8" s="310">
        <f>'Phase I Schedules'!MJ18</f>
        <v>8184919.783877925</v>
      </c>
      <c r="D8" s="724">
        <f t="shared" si="0"/>
        <v>5.7984474206788685E-2</v>
      </c>
      <c r="E8" s="725">
        <v>0.36597910186255167</v>
      </c>
      <c r="I8" s="264">
        <f t="shared" si="103"/>
        <v>5</v>
      </c>
      <c r="J8" s="726">
        <f t="shared" si="1"/>
        <v>5</v>
      </c>
      <c r="K8" s="12" t="s">
        <v>408</v>
      </c>
      <c r="L8" s="399">
        <v>4243877</v>
      </c>
      <c r="M8" s="271">
        <f t="shared" si="2"/>
        <v>1.8975998957674149E-3</v>
      </c>
      <c r="N8" s="399">
        <v>1776</v>
      </c>
      <c r="O8" s="399">
        <f t="shared" si="79"/>
        <v>2389.5703828828828</v>
      </c>
      <c r="P8" s="271">
        <f t="shared" si="3"/>
        <v>1.2965561942328268E-3</v>
      </c>
      <c r="Q8" s="248" t="s">
        <v>385</v>
      </c>
      <c r="U8" s="727">
        <f t="shared" si="104"/>
        <v>5</v>
      </c>
      <c r="V8" s="728">
        <f t="shared" si="4"/>
        <v>5</v>
      </c>
      <c r="W8" s="12" t="s">
        <v>408</v>
      </c>
      <c r="X8" s="273">
        <f t="shared" si="80"/>
        <v>320073.18587161187</v>
      </c>
      <c r="Y8" s="271">
        <f t="shared" si="5"/>
        <v>3.0901621293241903E-3</v>
      </c>
      <c r="AC8" s="727">
        <f t="shared" si="105"/>
        <v>5</v>
      </c>
      <c r="AD8" s="68">
        <v>5</v>
      </c>
      <c r="AE8" s="275" t="s">
        <v>408</v>
      </c>
      <c r="AF8" s="301">
        <v>8.11</v>
      </c>
      <c r="AJ8" s="680"/>
      <c r="AP8" s="727">
        <f t="shared" si="81"/>
        <v>5</v>
      </c>
      <c r="AQ8" s="733">
        <f t="shared" si="6"/>
        <v>5</v>
      </c>
      <c r="AR8" s="12" t="s">
        <v>408</v>
      </c>
      <c r="AS8" s="12">
        <f t="shared" si="7"/>
        <v>8.11</v>
      </c>
      <c r="AT8" s="734">
        <v>4243877</v>
      </c>
      <c r="AU8" s="734">
        <f t="shared" si="106"/>
        <v>9560.5117972222215</v>
      </c>
      <c r="AV8" s="735">
        <f t="shared" si="8"/>
        <v>9419.2819016010089</v>
      </c>
      <c r="AW8" s="736">
        <f t="shared" si="9"/>
        <v>21.544156020912027</v>
      </c>
      <c r="AX8" s="273">
        <f t="shared" si="116"/>
        <v>202930.47889304507</v>
      </c>
      <c r="AY8" s="271">
        <f t="shared" si="10"/>
        <v>4.484098270691534E-3</v>
      </c>
      <c r="AZ8" s="269">
        <f t="shared" si="11"/>
        <v>4.7817239999999996</v>
      </c>
      <c r="BK8" s="264">
        <f t="shared" si="107"/>
        <v>5</v>
      </c>
      <c r="BL8" s="248">
        <f t="shared" si="12"/>
        <v>5</v>
      </c>
      <c r="BM8" s="12" t="s">
        <v>408</v>
      </c>
      <c r="BN8" s="271">
        <f t="shared" si="13"/>
        <v>4.484098270691534E-3</v>
      </c>
      <c r="BO8" s="273">
        <f t="shared" si="14"/>
        <v>41554.898411316528</v>
      </c>
      <c r="BP8" s="271">
        <f t="shared" si="15"/>
        <v>1.8975998957674149E-3</v>
      </c>
      <c r="BQ8" s="273">
        <f t="shared" si="16"/>
        <v>17585.379742754583</v>
      </c>
      <c r="BR8" s="464">
        <f t="shared" si="17"/>
        <v>59140.278154071115</v>
      </c>
      <c r="BS8" s="269">
        <f t="shared" si="18"/>
        <v>1.3935439999999999</v>
      </c>
      <c r="BW8" s="400">
        <f>+BW7+1</f>
        <v>5</v>
      </c>
      <c r="BX8" s="531" t="s">
        <v>395</v>
      </c>
      <c r="BY8" s="770">
        <v>0.37594143122204682</v>
      </c>
      <c r="BZ8" s="782">
        <f>BY8*$BZ$9</f>
        <v>10228208.371022791</v>
      </c>
      <c r="CA8" s="783"/>
      <c r="CB8" s="783">
        <v>1</v>
      </c>
      <c r="CC8" s="782">
        <f t="shared" si="19"/>
        <v>0</v>
      </c>
      <c r="CD8" s="782">
        <f t="shared" si="19"/>
        <v>10228208.371022791</v>
      </c>
      <c r="CH8" s="264">
        <f t="shared" si="108"/>
        <v>5</v>
      </c>
      <c r="CI8" s="68">
        <f t="shared" si="20"/>
        <v>5</v>
      </c>
      <c r="CJ8" s="12" t="s">
        <v>408</v>
      </c>
      <c r="CK8" s="271">
        <f t="shared" si="21"/>
        <v>1.8975998957674149E-3</v>
      </c>
      <c r="CL8" s="273">
        <f t="shared" si="22"/>
        <v>11910.569351868759</v>
      </c>
      <c r="CM8" s="271">
        <f t="shared" si="23"/>
        <v>1.2965561942328268E-3</v>
      </c>
      <c r="CN8" s="273">
        <f t="shared" si="24"/>
        <v>27137.271670397498</v>
      </c>
      <c r="CO8" s="273">
        <f t="shared" si="25"/>
        <v>39047.841022266257</v>
      </c>
      <c r="CP8" s="271">
        <f t="shared" si="26"/>
        <v>1.4352172646023031E-3</v>
      </c>
      <c r="CQ8" s="269">
        <f t="shared" si="27"/>
        <v>0.92009799999999997</v>
      </c>
      <c r="CW8" s="275"/>
      <c r="CX8" s="275"/>
      <c r="CY8" s="275"/>
      <c r="CZ8" s="275"/>
      <c r="DA8" s="275"/>
      <c r="DB8" s="275"/>
      <c r="DC8" s="275"/>
      <c r="DG8" s="727">
        <f t="shared" si="109"/>
        <v>5</v>
      </c>
      <c r="DH8" s="740">
        <f t="shared" si="29"/>
        <v>5</v>
      </c>
      <c r="DI8" s="12" t="s">
        <v>408</v>
      </c>
      <c r="DJ8" s="271">
        <f t="shared" si="30"/>
        <v>1.4352172646023031E-3</v>
      </c>
      <c r="DK8" s="273">
        <f t="shared" si="31"/>
        <v>451.42940674076044</v>
      </c>
      <c r="DL8" s="271">
        <f t="shared" si="32"/>
        <v>1.2965561942328268E-3</v>
      </c>
      <c r="DM8" s="273">
        <f t="shared" si="33"/>
        <v>4598.677784412168</v>
      </c>
      <c r="DN8" s="271">
        <f t="shared" si="34"/>
        <v>1.8975998957674149E-3</v>
      </c>
      <c r="DO8" s="273">
        <f t="shared" si="35"/>
        <v>8204.3531056820484</v>
      </c>
      <c r="DP8" s="273">
        <f t="shared" si="82"/>
        <v>13254.460296834977</v>
      </c>
      <c r="DQ8" s="271">
        <f t="shared" si="36"/>
        <v>1.6193757112858546E-3</v>
      </c>
      <c r="DR8" s="269">
        <f t="shared" si="37"/>
        <v>0.31231999999999999</v>
      </c>
      <c r="DV8" s="727">
        <f t="shared" si="110"/>
        <v>5</v>
      </c>
      <c r="DW8" s="740">
        <f t="shared" si="38"/>
        <v>5</v>
      </c>
      <c r="DX8" s="12" t="s">
        <v>408</v>
      </c>
      <c r="DY8" s="271">
        <f t="shared" si="39"/>
        <v>1.2965561942328268E-3</v>
      </c>
      <c r="DZ8" s="273">
        <f t="shared" si="40"/>
        <v>5700.1275053944591</v>
      </c>
      <c r="EA8" s="269">
        <f t="shared" si="41"/>
        <v>0.13431399999999999</v>
      </c>
      <c r="EM8" s="727">
        <f t="shared" si="111"/>
        <v>5</v>
      </c>
      <c r="EN8" s="740">
        <f t="shared" si="42"/>
        <v>5</v>
      </c>
      <c r="EO8" s="12" t="s">
        <v>408</v>
      </c>
      <c r="EP8" s="271">
        <f t="shared" si="43"/>
        <v>3.0901621293241903E-3</v>
      </c>
      <c r="EQ8" s="273">
        <f t="shared" si="44"/>
        <v>25711.471498761639</v>
      </c>
      <c r="ER8" s="271">
        <f t="shared" si="45"/>
        <v>1.4352172646023031E-3</v>
      </c>
      <c r="ES8" s="273">
        <f t="shared" si="46"/>
        <v>1567.7528856453098</v>
      </c>
      <c r="ET8" s="271">
        <f t="shared" si="47"/>
        <v>1.8975998957674149E-3</v>
      </c>
      <c r="EU8" s="273">
        <f t="shared" si="48"/>
        <v>10394.352417754601</v>
      </c>
      <c r="EV8" s="273">
        <f t="shared" si="49"/>
        <v>37673.576802161551</v>
      </c>
      <c r="EW8" s="271">
        <f t="shared" si="50"/>
        <v>2.5300573053033755E-3</v>
      </c>
      <c r="EX8" s="269">
        <f t="shared" si="51"/>
        <v>0.88771599999999995</v>
      </c>
      <c r="FH8" s="727">
        <f t="shared" si="112"/>
        <v>5</v>
      </c>
      <c r="FI8" s="728">
        <f t="shared" si="52"/>
        <v>5</v>
      </c>
      <c r="FJ8" s="12" t="s">
        <v>408</v>
      </c>
      <c r="FK8" s="271">
        <f t="shared" si="53"/>
        <v>3.0901621293241903E-3</v>
      </c>
      <c r="FL8" s="273">
        <f t="shared" si="54"/>
        <v>70111.351154929187</v>
      </c>
      <c r="FM8" s="269">
        <f t="shared" si="55"/>
        <v>1.6520589999999999</v>
      </c>
      <c r="FQ8" s="264">
        <f t="shared" si="83"/>
        <v>5</v>
      </c>
      <c r="FR8" s="728">
        <v>5</v>
      </c>
      <c r="FS8" s="12" t="s">
        <v>408</v>
      </c>
      <c r="FT8" s="273">
        <f t="shared" si="84"/>
        <v>202930.47889304507</v>
      </c>
      <c r="FU8" s="273">
        <f t="shared" si="56"/>
        <v>59140.278154071115</v>
      </c>
      <c r="FV8" s="273">
        <f t="shared" si="57"/>
        <v>39047.841022266257</v>
      </c>
      <c r="FW8" s="273">
        <f t="shared" si="58"/>
        <v>13254.460296834977</v>
      </c>
      <c r="FX8" s="273">
        <f t="shared" si="59"/>
        <v>5700.1275053944591</v>
      </c>
      <c r="FY8" s="273">
        <f t="shared" si="60"/>
        <v>37673.576802161551</v>
      </c>
      <c r="FZ8" s="273">
        <f t="shared" si="61"/>
        <v>70111.351154929187</v>
      </c>
      <c r="GA8" s="273">
        <f t="shared" si="62"/>
        <v>427858.11382870266</v>
      </c>
      <c r="GB8" s="352">
        <f t="shared" si="63"/>
        <v>10.081775</v>
      </c>
      <c r="GF8" s="727">
        <f t="shared" si="85"/>
        <v>5</v>
      </c>
      <c r="GG8" s="728">
        <f t="shared" si="64"/>
        <v>5</v>
      </c>
      <c r="GH8" s="12" t="s">
        <v>408</v>
      </c>
      <c r="GI8" s="269">
        <f t="shared" si="86"/>
        <v>4.7817239999999996</v>
      </c>
      <c r="GJ8" s="269">
        <f t="shared" si="65"/>
        <v>1.3935439999999999</v>
      </c>
      <c r="GK8" s="269">
        <f t="shared" si="66"/>
        <v>0.92009799999999997</v>
      </c>
      <c r="GL8" s="269">
        <f t="shared" si="67"/>
        <v>0.31231999999999999</v>
      </c>
      <c r="GM8" s="269">
        <f t="shared" si="68"/>
        <v>0.13431399999999999</v>
      </c>
      <c r="GN8" s="269">
        <f t="shared" si="69"/>
        <v>0.88771599999999995</v>
      </c>
      <c r="GO8" s="269">
        <f t="shared" si="70"/>
        <v>1.6520589999999999</v>
      </c>
      <c r="GP8" s="269">
        <f t="shared" si="71"/>
        <v>10.081775</v>
      </c>
      <c r="GQ8" s="399">
        <v>4243877</v>
      </c>
      <c r="GR8" s="708"/>
      <c r="GU8" s="264">
        <f t="shared" si="87"/>
        <v>5</v>
      </c>
      <c r="GV8" s="728">
        <f t="shared" si="72"/>
        <v>5</v>
      </c>
      <c r="GW8" s="12" t="s">
        <v>408</v>
      </c>
      <c r="GX8" s="248" t="s">
        <v>385</v>
      </c>
      <c r="GY8" s="273">
        <f t="shared" si="73"/>
        <v>427858.11382870266</v>
      </c>
      <c r="GZ8" s="399">
        <f t="shared" si="74"/>
        <v>4243877</v>
      </c>
      <c r="HA8" s="352">
        <f t="shared" si="88"/>
        <v>10.081775</v>
      </c>
      <c r="HB8" s="273">
        <f t="shared" si="75"/>
        <v>427858.13041675003</v>
      </c>
      <c r="HC8" s="742">
        <f t="shared" si="76"/>
        <v>1.6588047379627824E-2</v>
      </c>
      <c r="HD8" s="743"/>
      <c r="HG8" s="743"/>
      <c r="HH8" s="743"/>
      <c r="HI8" s="743"/>
      <c r="HJ8" s="743"/>
      <c r="HK8" s="743"/>
      <c r="HL8" s="743"/>
      <c r="HM8" s="743"/>
      <c r="HP8" s="727">
        <f t="shared" si="113"/>
        <v>5</v>
      </c>
      <c r="HQ8" s="746">
        <f t="shared" si="77"/>
        <v>5</v>
      </c>
      <c r="HR8" s="12" t="s">
        <v>408</v>
      </c>
      <c r="HS8" s="399">
        <v>4243877</v>
      </c>
      <c r="HT8" s="747">
        <f t="shared" si="89"/>
        <v>10.081775</v>
      </c>
      <c r="HU8" s="747">
        <v>8.3930000000000007</v>
      </c>
      <c r="HV8" s="737">
        <f t="shared" si="90"/>
        <v>0.2012123197903013</v>
      </c>
      <c r="HW8" s="747">
        <f t="shared" si="91"/>
        <v>1.6887749999999997</v>
      </c>
      <c r="HX8" s="739">
        <v>10</v>
      </c>
      <c r="IO8" s="727">
        <f t="shared" si="114"/>
        <v>5</v>
      </c>
      <c r="IP8" s="746">
        <v>5</v>
      </c>
      <c r="IQ8" s="12" t="s">
        <v>408</v>
      </c>
      <c r="IR8" s="753">
        <f t="shared" si="92"/>
        <v>427858.11382870266</v>
      </c>
      <c r="IS8" s="754">
        <f t="shared" si="92"/>
        <v>4243877</v>
      </c>
      <c r="IT8" s="755">
        <f t="shared" si="92"/>
        <v>10.081775</v>
      </c>
      <c r="IU8" s="399">
        <f t="shared" si="93"/>
        <v>608609.11319396179</v>
      </c>
      <c r="IV8" s="399">
        <f t="shared" si="94"/>
        <v>3635267.8868060382</v>
      </c>
      <c r="IW8" s="753">
        <f t="shared" si="95"/>
        <v>9129.1366979094273</v>
      </c>
      <c r="IX8" s="753">
        <f t="shared" si="96"/>
        <v>418728.97713079321</v>
      </c>
      <c r="IY8" s="633">
        <f t="shared" si="97"/>
        <v>9.8666614779550219</v>
      </c>
      <c r="IZ8" s="633">
        <f>IY8+1.5</f>
        <v>11.366661477955022</v>
      </c>
      <c r="JA8" s="753">
        <f t="shared" si="99"/>
        <v>427858.11382870266</v>
      </c>
      <c r="JB8" s="352">
        <f t="shared" si="100"/>
        <v>0.21511352204497847</v>
      </c>
      <c r="JF8" s="727">
        <f t="shared" si="115"/>
        <v>5</v>
      </c>
      <c r="JG8" s="746">
        <f t="shared" si="78"/>
        <v>5</v>
      </c>
      <c r="JH8" s="12" t="s">
        <v>408</v>
      </c>
      <c r="JI8" s="399">
        <v>4243877</v>
      </c>
      <c r="JJ8" s="747">
        <f t="shared" si="101"/>
        <v>9.8666614779550219</v>
      </c>
      <c r="JK8" s="747">
        <v>8.1739999999999995</v>
      </c>
      <c r="JL8" s="737">
        <f t="shared" si="117"/>
        <v>0.20707872252936421</v>
      </c>
      <c r="JM8" s="747">
        <f t="shared" si="102"/>
        <v>1.6926614779550224</v>
      </c>
      <c r="JN8" s="739">
        <v>10</v>
      </c>
    </row>
    <row r="9" spans="1:277" ht="17.25" thickBot="1" x14ac:dyDescent="0.35">
      <c r="A9" s="264">
        <v>6</v>
      </c>
      <c r="B9" s="741" t="s">
        <v>51</v>
      </c>
      <c r="C9" s="273">
        <f>'Phase I Schedules'!MJ19</f>
        <v>4396359.7804314438</v>
      </c>
      <c r="D9" s="737">
        <f t="shared" si="0"/>
        <v>3.1145156827842684E-2</v>
      </c>
      <c r="E9" s="739">
        <v>0.19657807851412196</v>
      </c>
      <c r="I9" s="264">
        <f t="shared" si="103"/>
        <v>6</v>
      </c>
      <c r="J9" s="726">
        <f t="shared" si="1"/>
        <v>6</v>
      </c>
      <c r="K9" s="12" t="s">
        <v>409</v>
      </c>
      <c r="L9" s="399">
        <v>37121144</v>
      </c>
      <c r="M9" s="271">
        <f t="shared" si="2"/>
        <v>1.6598284772430302E-2</v>
      </c>
      <c r="N9" s="399">
        <v>863</v>
      </c>
      <c r="O9" s="399">
        <f t="shared" si="79"/>
        <v>43014.071842410194</v>
      </c>
      <c r="P9" s="271">
        <f t="shared" si="3"/>
        <v>2.333899084368847E-2</v>
      </c>
      <c r="Q9" s="248" t="s">
        <v>385</v>
      </c>
      <c r="U9" s="727">
        <f t="shared" si="104"/>
        <v>6</v>
      </c>
      <c r="V9" s="728">
        <f t="shared" si="4"/>
        <v>6</v>
      </c>
      <c r="W9" s="12" t="s">
        <v>409</v>
      </c>
      <c r="X9" s="273">
        <f t="shared" si="80"/>
        <v>2495057.8638008633</v>
      </c>
      <c r="Y9" s="271">
        <f t="shared" si="5"/>
        <v>2.4088657411879041E-2</v>
      </c>
      <c r="AC9" s="727">
        <f t="shared" si="105"/>
        <v>6</v>
      </c>
      <c r="AD9" s="68">
        <v>6</v>
      </c>
      <c r="AE9" s="275" t="s">
        <v>409</v>
      </c>
      <c r="AF9" s="301">
        <v>5.63</v>
      </c>
      <c r="AP9" s="727">
        <f t="shared" si="81"/>
        <v>6</v>
      </c>
      <c r="AQ9" s="733">
        <f t="shared" si="6"/>
        <v>6</v>
      </c>
      <c r="AR9" s="12" t="s">
        <v>409</v>
      </c>
      <c r="AS9" s="12">
        <f t="shared" si="7"/>
        <v>5.63</v>
      </c>
      <c r="AT9" s="734">
        <v>37121144</v>
      </c>
      <c r="AU9" s="734">
        <f t="shared" si="106"/>
        <v>58053.344644444442</v>
      </c>
      <c r="AV9" s="735">
        <f t="shared" si="8"/>
        <v>57195.768399731336</v>
      </c>
      <c r="AW9" s="736">
        <f t="shared" si="9"/>
        <v>21.544156020912027</v>
      </c>
      <c r="AX9" s="273">
        <f t="shared" si="116"/>
        <v>1232234.5581397617</v>
      </c>
      <c r="AY9" s="271">
        <f t="shared" si="10"/>
        <v>2.7228343821891127E-2</v>
      </c>
      <c r="AZ9" s="269">
        <f t="shared" si="11"/>
        <v>3.3194949999999999</v>
      </c>
      <c r="BK9" s="264">
        <f t="shared" si="107"/>
        <v>6</v>
      </c>
      <c r="BL9" s="248">
        <f t="shared" si="12"/>
        <v>6</v>
      </c>
      <c r="BM9" s="12" t="s">
        <v>409</v>
      </c>
      <c r="BN9" s="271">
        <f t="shared" si="13"/>
        <v>2.7228343821891127E-2</v>
      </c>
      <c r="BO9" s="273">
        <f t="shared" si="14"/>
        <v>252329.67547176196</v>
      </c>
      <c r="BP9" s="271">
        <f t="shared" si="15"/>
        <v>1.6598284772430302E-2</v>
      </c>
      <c r="BQ9" s="273">
        <f t="shared" si="16"/>
        <v>153819.11721887221</v>
      </c>
      <c r="BR9" s="464">
        <f t="shared" si="17"/>
        <v>406148.79269063415</v>
      </c>
      <c r="BS9" s="269">
        <f t="shared" si="18"/>
        <v>1.094117</v>
      </c>
      <c r="BW9" s="360">
        <v>6</v>
      </c>
      <c r="BX9" s="773" t="s">
        <v>72</v>
      </c>
      <c r="BY9" s="781">
        <f>SUM(BY4:BY8)</f>
        <v>1.0000000000000011</v>
      </c>
      <c r="BZ9" s="784">
        <f>'Phase II Schedules'!C7</f>
        <v>27206919.806031119</v>
      </c>
      <c r="CA9" s="785"/>
      <c r="CB9" s="785"/>
      <c r="CC9" s="784">
        <f>SUM(CC4:CC8)</f>
        <v>6276649.4551539617</v>
      </c>
      <c r="CD9" s="784">
        <f>SUM(CD4:CD8)</f>
        <v>20930270.350877188</v>
      </c>
      <c r="CH9" s="264">
        <f t="shared" si="108"/>
        <v>6</v>
      </c>
      <c r="CI9" s="68">
        <f t="shared" si="20"/>
        <v>6</v>
      </c>
      <c r="CJ9" s="12" t="s">
        <v>409</v>
      </c>
      <c r="CK9" s="271">
        <f t="shared" si="21"/>
        <v>1.6598284772430302E-2</v>
      </c>
      <c r="CL9" s="273">
        <f t="shared" si="22"/>
        <v>104181.61507336496</v>
      </c>
      <c r="CM9" s="271">
        <f t="shared" si="23"/>
        <v>2.333899084368847E-2</v>
      </c>
      <c r="CN9" s="273">
        <f t="shared" si="24"/>
        <v>488491.38807504694</v>
      </c>
      <c r="CO9" s="273">
        <f t="shared" si="25"/>
        <v>592673.00314841187</v>
      </c>
      <c r="CP9" s="271">
        <f t="shared" si="26"/>
        <v>2.1783906718357355E-2</v>
      </c>
      <c r="CQ9" s="269">
        <f t="shared" si="27"/>
        <v>1.5965910000000001</v>
      </c>
      <c r="DG9" s="727">
        <f t="shared" si="109"/>
        <v>6</v>
      </c>
      <c r="DH9" s="740">
        <f t="shared" si="29"/>
        <v>6</v>
      </c>
      <c r="DI9" s="12" t="s">
        <v>409</v>
      </c>
      <c r="DJ9" s="271">
        <f t="shared" si="30"/>
        <v>2.1783906718357355E-2</v>
      </c>
      <c r="DK9" s="273">
        <f t="shared" si="31"/>
        <v>6851.8518616685442</v>
      </c>
      <c r="DL9" s="271">
        <f t="shared" si="32"/>
        <v>2.333899084368847E-2</v>
      </c>
      <c r="DM9" s="273">
        <f t="shared" si="33"/>
        <v>82779.673708608927</v>
      </c>
      <c r="DN9" s="271">
        <f t="shared" si="34"/>
        <v>1.6598284772430302E-2</v>
      </c>
      <c r="DO9" s="273">
        <f t="shared" si="35"/>
        <v>71763.383590728597</v>
      </c>
      <c r="DP9" s="273">
        <f t="shared" si="82"/>
        <v>161394.90916100607</v>
      </c>
      <c r="DQ9" s="271">
        <f t="shared" si="36"/>
        <v>1.9718569445104438E-2</v>
      </c>
      <c r="DR9" s="269">
        <f t="shared" si="37"/>
        <v>0.43477900000000003</v>
      </c>
      <c r="DV9" s="727">
        <f t="shared" si="110"/>
        <v>6</v>
      </c>
      <c r="DW9" s="740">
        <f t="shared" si="38"/>
        <v>6</v>
      </c>
      <c r="DX9" s="12" t="s">
        <v>409</v>
      </c>
      <c r="DY9" s="271">
        <f t="shared" si="39"/>
        <v>2.333899084368847E-2</v>
      </c>
      <c r="DZ9" s="273">
        <f t="shared" si="40"/>
        <v>102606.60066104973</v>
      </c>
      <c r="EA9" s="269">
        <f t="shared" si="41"/>
        <v>0.27640999999999999</v>
      </c>
      <c r="EI9" s="16"/>
      <c r="EM9" s="727">
        <f t="shared" si="111"/>
        <v>6</v>
      </c>
      <c r="EN9" s="740">
        <f t="shared" si="42"/>
        <v>6</v>
      </c>
      <c r="EO9" s="12" t="s">
        <v>409</v>
      </c>
      <c r="EP9" s="271">
        <f t="shared" si="43"/>
        <v>2.4088657411879041E-2</v>
      </c>
      <c r="EQ9" s="273">
        <f t="shared" si="44"/>
        <v>200427.93956070274</v>
      </c>
      <c r="ER9" s="271">
        <f t="shared" si="45"/>
        <v>2.1783906718357355E-2</v>
      </c>
      <c r="ES9" s="273">
        <f t="shared" si="46"/>
        <v>23795.548911402213</v>
      </c>
      <c r="ET9" s="271">
        <f t="shared" si="47"/>
        <v>1.6598284772430302E-2</v>
      </c>
      <c r="EU9" s="273">
        <f t="shared" si="48"/>
        <v>90919.282742222887</v>
      </c>
      <c r="EV9" s="273">
        <f t="shared" si="49"/>
        <v>315142.77121432783</v>
      </c>
      <c r="EW9" s="271">
        <f t="shared" si="50"/>
        <v>2.1164151062996839E-2</v>
      </c>
      <c r="EX9" s="269">
        <f t="shared" si="51"/>
        <v>0.84895799999999999</v>
      </c>
      <c r="FH9" s="727">
        <f t="shared" si="112"/>
        <v>6</v>
      </c>
      <c r="FI9" s="728">
        <f t="shared" si="52"/>
        <v>6</v>
      </c>
      <c r="FJ9" s="12" t="s">
        <v>409</v>
      </c>
      <c r="FK9" s="271">
        <f t="shared" si="53"/>
        <v>2.4088657411879041E-2</v>
      </c>
      <c r="FL9" s="273">
        <f t="shared" si="54"/>
        <v>546537.12264100334</v>
      </c>
      <c r="FM9" s="269">
        <f t="shared" si="55"/>
        <v>1.472307</v>
      </c>
      <c r="FQ9" s="264">
        <f t="shared" si="83"/>
        <v>6</v>
      </c>
      <c r="FR9" s="728">
        <v>6</v>
      </c>
      <c r="FS9" s="12" t="s">
        <v>409</v>
      </c>
      <c r="FT9" s="273">
        <f t="shared" si="84"/>
        <v>1232234.5581397617</v>
      </c>
      <c r="FU9" s="273">
        <f t="shared" si="56"/>
        <v>406148.79269063415</v>
      </c>
      <c r="FV9" s="273">
        <f t="shared" si="57"/>
        <v>592673.00314841187</v>
      </c>
      <c r="FW9" s="273">
        <f t="shared" si="58"/>
        <v>161394.90916100607</v>
      </c>
      <c r="FX9" s="273">
        <f t="shared" si="59"/>
        <v>102606.60066104973</v>
      </c>
      <c r="FY9" s="273">
        <f t="shared" si="60"/>
        <v>315142.77121432783</v>
      </c>
      <c r="FZ9" s="273">
        <f t="shared" si="61"/>
        <v>546537.12264100334</v>
      </c>
      <c r="GA9" s="273">
        <f t="shared" si="62"/>
        <v>3356737.7576561943</v>
      </c>
      <c r="GB9" s="352">
        <f t="shared" si="63"/>
        <v>9.0426570000000002</v>
      </c>
      <c r="GF9" s="727">
        <f t="shared" si="85"/>
        <v>6</v>
      </c>
      <c r="GG9" s="728">
        <f t="shared" si="64"/>
        <v>6</v>
      </c>
      <c r="GH9" s="12" t="s">
        <v>409</v>
      </c>
      <c r="GI9" s="269">
        <f t="shared" si="86"/>
        <v>3.3194949999999999</v>
      </c>
      <c r="GJ9" s="269">
        <f t="shared" si="65"/>
        <v>1.094117</v>
      </c>
      <c r="GK9" s="269">
        <f t="shared" si="66"/>
        <v>1.5965910000000001</v>
      </c>
      <c r="GL9" s="269">
        <f t="shared" si="67"/>
        <v>0.43477900000000003</v>
      </c>
      <c r="GM9" s="269">
        <f t="shared" si="68"/>
        <v>0.27640999999999999</v>
      </c>
      <c r="GN9" s="269">
        <f t="shared" si="69"/>
        <v>0.84895799999999999</v>
      </c>
      <c r="GO9" s="269">
        <f t="shared" si="70"/>
        <v>1.472307</v>
      </c>
      <c r="GP9" s="269">
        <f t="shared" si="71"/>
        <v>9.0426570000000002</v>
      </c>
      <c r="GQ9" s="399">
        <v>37121144</v>
      </c>
      <c r="GR9" s="708"/>
      <c r="GU9" s="264">
        <f t="shared" si="87"/>
        <v>6</v>
      </c>
      <c r="GV9" s="728">
        <f t="shared" si="72"/>
        <v>6</v>
      </c>
      <c r="GW9" s="12" t="s">
        <v>409</v>
      </c>
      <c r="GX9" s="248" t="s">
        <v>385</v>
      </c>
      <c r="GY9" s="273">
        <f t="shared" si="73"/>
        <v>3356737.7576561943</v>
      </c>
      <c r="GZ9" s="399">
        <f t="shared" si="74"/>
        <v>37121144</v>
      </c>
      <c r="HA9" s="352">
        <f t="shared" si="88"/>
        <v>9.0426570000000002</v>
      </c>
      <c r="HB9" s="273">
        <f t="shared" si="75"/>
        <v>3356737.7263960801</v>
      </c>
      <c r="HC9" s="742">
        <f t="shared" si="76"/>
        <v>-3.1260114163160324E-2</v>
      </c>
      <c r="HD9" s="743"/>
      <c r="HG9" s="743"/>
      <c r="HH9" s="743"/>
      <c r="HI9" s="743"/>
      <c r="HJ9" s="743"/>
      <c r="HK9" s="743"/>
      <c r="HL9" s="743"/>
      <c r="HM9" s="743"/>
      <c r="HP9" s="727">
        <f t="shared" si="113"/>
        <v>6</v>
      </c>
      <c r="HQ9" s="746">
        <f t="shared" si="77"/>
        <v>6</v>
      </c>
      <c r="HR9" s="12" t="s">
        <v>409</v>
      </c>
      <c r="HS9" s="399">
        <v>37121144</v>
      </c>
      <c r="HT9" s="747">
        <f t="shared" si="89"/>
        <v>9.0426570000000002</v>
      </c>
      <c r="HU9" s="747">
        <v>8.2330000000000005</v>
      </c>
      <c r="HV9" s="737">
        <f t="shared" si="90"/>
        <v>9.8342888376047544E-2</v>
      </c>
      <c r="HW9" s="747">
        <f t="shared" si="91"/>
        <v>0.80965699999999963</v>
      </c>
      <c r="HX9" s="739">
        <v>10</v>
      </c>
      <c r="IO9" s="727">
        <f t="shared" si="114"/>
        <v>6</v>
      </c>
      <c r="IP9" s="746">
        <v>6</v>
      </c>
      <c r="IQ9" s="12" t="s">
        <v>409</v>
      </c>
      <c r="IR9" s="753">
        <f t="shared" si="92"/>
        <v>3356737.7576561943</v>
      </c>
      <c r="IS9" s="754">
        <f t="shared" si="92"/>
        <v>37121144</v>
      </c>
      <c r="IT9" s="755">
        <f t="shared" si="92"/>
        <v>9.0426570000000002</v>
      </c>
      <c r="IU9" s="399">
        <f t="shared" si="93"/>
        <v>5323497.0124217449</v>
      </c>
      <c r="IV9" s="399">
        <f t="shared" si="94"/>
        <v>31797646.987578254</v>
      </c>
      <c r="IW9" s="753">
        <f t="shared" si="95"/>
        <v>79852.455186326173</v>
      </c>
      <c r="IX9" s="753">
        <f t="shared" si="96"/>
        <v>3276885.3024698682</v>
      </c>
      <c r="IY9" s="633">
        <f t="shared" si="97"/>
        <v>8.827543953036221</v>
      </c>
      <c r="IZ9" s="633">
        <f t="shared" si="98"/>
        <v>10.327543953036221</v>
      </c>
      <c r="JA9" s="753">
        <f t="shared" si="99"/>
        <v>3356737.7576561938</v>
      </c>
      <c r="JB9" s="352">
        <f t="shared" si="100"/>
        <v>0.2151130469637792</v>
      </c>
      <c r="JF9" s="727">
        <f t="shared" si="115"/>
        <v>6</v>
      </c>
      <c r="JG9" s="746">
        <f t="shared" si="78"/>
        <v>6</v>
      </c>
      <c r="JH9" s="12" t="s">
        <v>409</v>
      </c>
      <c r="JI9" s="399">
        <v>37121144</v>
      </c>
      <c r="JJ9" s="747">
        <f t="shared" si="101"/>
        <v>8.827543953036221</v>
      </c>
      <c r="JK9" s="747">
        <v>8.0139999999999993</v>
      </c>
      <c r="JL9" s="737">
        <f t="shared" si="117"/>
        <v>0.10151534228053682</v>
      </c>
      <c r="JM9" s="747">
        <f t="shared" si="102"/>
        <v>0.81354395303622162</v>
      </c>
      <c r="JN9" s="739">
        <v>10</v>
      </c>
    </row>
    <row r="10" spans="1:277" x14ac:dyDescent="0.3">
      <c r="A10" s="722">
        <v>7</v>
      </c>
      <c r="B10" s="723" t="s">
        <v>54</v>
      </c>
      <c r="C10" s="310">
        <f>'Phase I Schedules'!MJ20</f>
        <v>14890404.546644907</v>
      </c>
      <c r="D10" s="724">
        <f t="shared" si="0"/>
        <v>0.10548817840148769</v>
      </c>
      <c r="E10" s="725">
        <v>0.66580699948768585</v>
      </c>
      <c r="I10" s="264">
        <f t="shared" si="103"/>
        <v>7</v>
      </c>
      <c r="J10" s="726">
        <f t="shared" si="1"/>
        <v>7</v>
      </c>
      <c r="K10" s="12" t="s">
        <v>410</v>
      </c>
      <c r="L10" s="399">
        <v>25291626</v>
      </c>
      <c r="M10" s="271">
        <f t="shared" si="2"/>
        <v>1.1308854347425347E-2</v>
      </c>
      <c r="N10" s="399">
        <v>350</v>
      </c>
      <c r="O10" s="399">
        <f t="shared" si="79"/>
        <v>72261.788571428566</v>
      </c>
      <c r="P10" s="271">
        <f t="shared" si="3"/>
        <v>3.9208499674152762E-2</v>
      </c>
      <c r="Q10" s="248" t="s">
        <v>385</v>
      </c>
      <c r="U10" s="727">
        <f t="shared" si="104"/>
        <v>7</v>
      </c>
      <c r="V10" s="728">
        <f t="shared" si="4"/>
        <v>7</v>
      </c>
      <c r="W10" s="12" t="s">
        <v>410</v>
      </c>
      <c r="X10" s="273">
        <f t="shared" si="80"/>
        <v>2877992.3991133347</v>
      </c>
      <c r="Y10" s="271">
        <f t="shared" si="5"/>
        <v>2.7785717494592792E-2</v>
      </c>
      <c r="AC10" s="727">
        <f t="shared" si="105"/>
        <v>7</v>
      </c>
      <c r="AD10" s="68">
        <v>7</v>
      </c>
      <c r="AE10" s="275" t="s">
        <v>410</v>
      </c>
      <c r="AF10" s="301">
        <v>8.41</v>
      </c>
      <c r="AP10" s="727">
        <f t="shared" si="81"/>
        <v>7</v>
      </c>
      <c r="AQ10" s="733">
        <f t="shared" si="6"/>
        <v>7</v>
      </c>
      <c r="AR10" s="12" t="s">
        <v>410</v>
      </c>
      <c r="AS10" s="12">
        <f t="shared" si="7"/>
        <v>8.41</v>
      </c>
      <c r="AT10" s="734">
        <v>25291626</v>
      </c>
      <c r="AU10" s="734">
        <f t="shared" si="106"/>
        <v>59084.048516666662</v>
      </c>
      <c r="AV10" s="735">
        <f t="shared" si="8"/>
        <v>58211.246497081069</v>
      </c>
      <c r="AW10" s="736">
        <f t="shared" si="9"/>
        <v>21.544156020912027</v>
      </c>
      <c r="AX10" s="273">
        <f t="shared" si="116"/>
        <v>1254112.1767048833</v>
      </c>
      <c r="AY10" s="271">
        <f t="shared" si="10"/>
        <v>2.771176746583973E-2</v>
      </c>
      <c r="AZ10" s="269">
        <f t="shared" si="11"/>
        <v>4.9586059999999996</v>
      </c>
      <c r="BK10" s="264">
        <f t="shared" si="107"/>
        <v>7</v>
      </c>
      <c r="BL10" s="248">
        <f t="shared" si="12"/>
        <v>7</v>
      </c>
      <c r="BM10" s="12" t="s">
        <v>410</v>
      </c>
      <c r="BN10" s="271">
        <f t="shared" si="13"/>
        <v>2.771176746583973E-2</v>
      </c>
      <c r="BO10" s="273">
        <f t="shared" si="14"/>
        <v>256809.64428627564</v>
      </c>
      <c r="BP10" s="271">
        <f t="shared" si="15"/>
        <v>1.1308854347425347E-2</v>
      </c>
      <c r="BQ10" s="273">
        <f t="shared" si="16"/>
        <v>104801.06928681608</v>
      </c>
      <c r="BR10" s="464">
        <f t="shared" si="17"/>
        <v>361610.71357309172</v>
      </c>
      <c r="BS10" s="269">
        <f t="shared" si="18"/>
        <v>1.429765</v>
      </c>
      <c r="BV10" s="15"/>
      <c r="BW10" s="205"/>
      <c r="BX10" s="205"/>
      <c r="BY10" s="205"/>
      <c r="BZ10" s="205"/>
      <c r="CA10" s="205"/>
      <c r="CB10" s="205"/>
      <c r="CC10" s="205"/>
      <c r="CD10" s="205"/>
      <c r="CH10" s="264">
        <f t="shared" si="108"/>
        <v>7</v>
      </c>
      <c r="CI10" s="68">
        <f t="shared" si="20"/>
        <v>7</v>
      </c>
      <c r="CJ10" s="12" t="s">
        <v>410</v>
      </c>
      <c r="CK10" s="271">
        <f t="shared" si="21"/>
        <v>1.1308854347425347E-2</v>
      </c>
      <c r="CL10" s="273">
        <f t="shared" si="22"/>
        <v>70981.71447818281</v>
      </c>
      <c r="CM10" s="271">
        <f t="shared" si="23"/>
        <v>3.9208499674152762E-2</v>
      </c>
      <c r="CN10" s="273">
        <f t="shared" si="24"/>
        <v>820644.49823229748</v>
      </c>
      <c r="CO10" s="273">
        <f t="shared" si="25"/>
        <v>891626.21271048032</v>
      </c>
      <c r="CP10" s="271">
        <f t="shared" si="26"/>
        <v>3.2772038108952968E-2</v>
      </c>
      <c r="CQ10" s="269">
        <f t="shared" si="27"/>
        <v>3.5253809999999999</v>
      </c>
      <c r="DC10" s="579"/>
      <c r="DD10" s="15"/>
      <c r="DG10" s="727">
        <f t="shared" si="109"/>
        <v>7</v>
      </c>
      <c r="DH10" s="740">
        <f t="shared" si="29"/>
        <v>7</v>
      </c>
      <c r="DI10" s="12" t="s">
        <v>410</v>
      </c>
      <c r="DJ10" s="271">
        <f t="shared" si="30"/>
        <v>3.2772038108952968E-2</v>
      </c>
      <c r="DK10" s="273">
        <f t="shared" si="31"/>
        <v>10308.029373733671</v>
      </c>
      <c r="DL10" s="271">
        <f t="shared" si="32"/>
        <v>3.9208499674152762E-2</v>
      </c>
      <c r="DM10" s="273">
        <f t="shared" si="33"/>
        <v>139066.28745724823</v>
      </c>
      <c r="DN10" s="271">
        <f t="shared" si="34"/>
        <v>1.1308854347425347E-2</v>
      </c>
      <c r="DO10" s="273">
        <f t="shared" si="35"/>
        <v>48894.308275392723</v>
      </c>
      <c r="DP10" s="273">
        <f t="shared" si="82"/>
        <v>198268.62510637462</v>
      </c>
      <c r="DQ10" s="271">
        <f t="shared" si="36"/>
        <v>2.4223649142769865E-2</v>
      </c>
      <c r="DR10" s="269">
        <f t="shared" si="37"/>
        <v>0.78393000000000002</v>
      </c>
      <c r="DV10" s="727">
        <f t="shared" si="110"/>
        <v>7</v>
      </c>
      <c r="DW10" s="740">
        <f t="shared" si="38"/>
        <v>7</v>
      </c>
      <c r="DX10" s="12" t="s">
        <v>410</v>
      </c>
      <c r="DY10" s="271">
        <f t="shared" si="39"/>
        <v>3.9208499674152762E-2</v>
      </c>
      <c r="DZ10" s="273">
        <f t="shared" si="40"/>
        <v>172374.67101850457</v>
      </c>
      <c r="EA10" s="269">
        <f t="shared" si="41"/>
        <v>0.68154800000000004</v>
      </c>
      <c r="EG10" s="16"/>
      <c r="EH10" s="16"/>
      <c r="EI10" s="16"/>
      <c r="EM10" s="727">
        <f t="shared" si="111"/>
        <v>7</v>
      </c>
      <c r="EN10" s="740">
        <f t="shared" si="42"/>
        <v>7</v>
      </c>
      <c r="EO10" s="12" t="s">
        <v>410</v>
      </c>
      <c r="EP10" s="271">
        <f t="shared" si="43"/>
        <v>2.7785717494592792E-2</v>
      </c>
      <c r="EQ10" s="273">
        <f t="shared" si="44"/>
        <v>231189.06178269198</v>
      </c>
      <c r="ER10" s="271">
        <f t="shared" si="45"/>
        <v>3.2772038108952968E-2</v>
      </c>
      <c r="ES10" s="273">
        <f t="shared" si="46"/>
        <v>35798.382991181468</v>
      </c>
      <c r="ET10" s="271">
        <f t="shared" si="47"/>
        <v>1.1308854347425347E-2</v>
      </c>
      <c r="EU10" s="273">
        <f t="shared" si="48"/>
        <v>61945.733550252546</v>
      </c>
      <c r="EV10" s="273">
        <f t="shared" si="49"/>
        <v>328933.178324126</v>
      </c>
      <c r="EW10" s="271">
        <f t="shared" si="50"/>
        <v>2.2090278158241234E-2</v>
      </c>
      <c r="EX10" s="269">
        <f t="shared" si="51"/>
        <v>1.300562</v>
      </c>
      <c r="FH10" s="727">
        <f t="shared" si="112"/>
        <v>7</v>
      </c>
      <c r="FI10" s="728">
        <f t="shared" si="52"/>
        <v>7</v>
      </c>
      <c r="FJ10" s="12" t="s">
        <v>410</v>
      </c>
      <c r="FK10" s="271">
        <f t="shared" si="53"/>
        <v>2.7785717494592792E-2</v>
      </c>
      <c r="FL10" s="273">
        <f t="shared" si="54"/>
        <v>630418.11879983696</v>
      </c>
      <c r="FM10" s="269">
        <f t="shared" si="55"/>
        <v>2.4925959999999998</v>
      </c>
      <c r="FQ10" s="264">
        <f t="shared" si="83"/>
        <v>7</v>
      </c>
      <c r="FR10" s="728">
        <v>7</v>
      </c>
      <c r="FS10" s="12" t="s">
        <v>410</v>
      </c>
      <c r="FT10" s="273">
        <f t="shared" si="84"/>
        <v>1254112.1767048833</v>
      </c>
      <c r="FU10" s="273">
        <f t="shared" si="56"/>
        <v>361610.71357309172</v>
      </c>
      <c r="FV10" s="273">
        <f t="shared" si="57"/>
        <v>891626.21271048032</v>
      </c>
      <c r="FW10" s="273">
        <f t="shared" si="58"/>
        <v>198268.62510637462</v>
      </c>
      <c r="FX10" s="273">
        <f t="shared" si="59"/>
        <v>172374.67101850457</v>
      </c>
      <c r="FY10" s="273">
        <f t="shared" si="60"/>
        <v>328933.178324126</v>
      </c>
      <c r="FZ10" s="273">
        <f t="shared" si="61"/>
        <v>630418.11879983696</v>
      </c>
      <c r="GA10" s="273">
        <f t="shared" si="62"/>
        <v>3837343.6962372977</v>
      </c>
      <c r="GB10" s="352">
        <f t="shared" si="63"/>
        <v>15.172388</v>
      </c>
      <c r="GF10" s="727">
        <f t="shared" si="85"/>
        <v>7</v>
      </c>
      <c r="GG10" s="728">
        <f t="shared" si="64"/>
        <v>7</v>
      </c>
      <c r="GH10" s="12" t="s">
        <v>410</v>
      </c>
      <c r="GI10" s="269">
        <f t="shared" si="86"/>
        <v>4.9586059999999996</v>
      </c>
      <c r="GJ10" s="269">
        <f t="shared" si="65"/>
        <v>1.429765</v>
      </c>
      <c r="GK10" s="269">
        <f t="shared" si="66"/>
        <v>3.5253809999999999</v>
      </c>
      <c r="GL10" s="269">
        <f t="shared" si="67"/>
        <v>0.78393000000000002</v>
      </c>
      <c r="GM10" s="269">
        <f t="shared" si="68"/>
        <v>0.68154800000000004</v>
      </c>
      <c r="GN10" s="269">
        <f t="shared" si="69"/>
        <v>1.300562</v>
      </c>
      <c r="GO10" s="269">
        <f t="shared" si="70"/>
        <v>2.4925959999999998</v>
      </c>
      <c r="GP10" s="269">
        <f t="shared" si="71"/>
        <v>15.172388</v>
      </c>
      <c r="GQ10" s="399">
        <v>25291626</v>
      </c>
      <c r="GR10" s="708"/>
      <c r="GU10" s="264">
        <f t="shared" si="87"/>
        <v>7</v>
      </c>
      <c r="GV10" s="728">
        <f t="shared" si="72"/>
        <v>7</v>
      </c>
      <c r="GW10" s="12" t="s">
        <v>410</v>
      </c>
      <c r="GX10" s="248" t="s">
        <v>385</v>
      </c>
      <c r="GY10" s="273">
        <f t="shared" si="73"/>
        <v>3837343.6962372977</v>
      </c>
      <c r="GZ10" s="399">
        <f t="shared" si="74"/>
        <v>25291626</v>
      </c>
      <c r="HA10" s="352">
        <f t="shared" si="88"/>
        <v>15.172388</v>
      </c>
      <c r="HB10" s="273">
        <f t="shared" si="75"/>
        <v>3837343.62822888</v>
      </c>
      <c r="HC10" s="742">
        <f t="shared" si="76"/>
        <v>-6.800841772928834E-2</v>
      </c>
      <c r="HD10" s="743"/>
      <c r="HG10" s="743"/>
      <c r="HH10" s="743"/>
      <c r="HI10" s="743"/>
      <c r="HJ10" s="743"/>
      <c r="HK10" s="743"/>
      <c r="HL10" s="743"/>
      <c r="HM10" s="743"/>
      <c r="HP10" s="727">
        <f t="shared" si="113"/>
        <v>7</v>
      </c>
      <c r="HQ10" s="746">
        <f t="shared" si="77"/>
        <v>7</v>
      </c>
      <c r="HR10" s="12" t="s">
        <v>410</v>
      </c>
      <c r="HS10" s="399">
        <v>25291626</v>
      </c>
      <c r="HT10" s="747">
        <f t="shared" si="89"/>
        <v>15.172388</v>
      </c>
      <c r="HU10" s="747">
        <v>15.685</v>
      </c>
      <c r="HV10" s="737">
        <f t="shared" si="90"/>
        <v>-3.2681670385718897E-2</v>
      </c>
      <c r="HW10" s="747">
        <f t="shared" si="91"/>
        <v>-0.51261200000000073</v>
      </c>
      <c r="HX10" s="739">
        <v>25</v>
      </c>
      <c r="IO10" s="727">
        <f t="shared" si="114"/>
        <v>7</v>
      </c>
      <c r="IP10" s="746">
        <v>7</v>
      </c>
      <c r="IQ10" s="12" t="s">
        <v>410</v>
      </c>
      <c r="IR10" s="753">
        <f t="shared" si="92"/>
        <v>3837343.6962372977</v>
      </c>
      <c r="IS10" s="754">
        <f t="shared" si="92"/>
        <v>25291626</v>
      </c>
      <c r="IT10" s="755">
        <f t="shared" si="92"/>
        <v>15.172388</v>
      </c>
      <c r="IU10" s="399">
        <f t="shared" si="93"/>
        <v>3627040.5742422198</v>
      </c>
      <c r="IV10" s="399">
        <f t="shared" si="94"/>
        <v>21664585.425757781</v>
      </c>
      <c r="IW10" s="753">
        <f t="shared" si="95"/>
        <v>54405.608613633296</v>
      </c>
      <c r="IX10" s="753">
        <f t="shared" si="96"/>
        <v>3782938.0876236646</v>
      </c>
      <c r="IY10" s="633">
        <f t="shared" si="97"/>
        <v>14.957275137722126</v>
      </c>
      <c r="IZ10" s="633">
        <f t="shared" si="98"/>
        <v>16.457275137722128</v>
      </c>
      <c r="JA10" s="753">
        <f t="shared" si="99"/>
        <v>3837343.6962372987</v>
      </c>
      <c r="JB10" s="352">
        <f t="shared" si="100"/>
        <v>0.21511286227787352</v>
      </c>
      <c r="JF10" s="727">
        <f t="shared" si="115"/>
        <v>7</v>
      </c>
      <c r="JG10" s="746">
        <f t="shared" si="78"/>
        <v>7</v>
      </c>
      <c r="JH10" s="12" t="s">
        <v>410</v>
      </c>
      <c r="JI10" s="399">
        <v>25291626</v>
      </c>
      <c r="JJ10" s="747">
        <f t="shared" si="101"/>
        <v>14.957275137722126</v>
      </c>
      <c r="JK10" s="747">
        <v>15.465999999999999</v>
      </c>
      <c r="JL10" s="737">
        <f t="shared" si="117"/>
        <v>-3.2893111488288662E-2</v>
      </c>
      <c r="JM10" s="747">
        <f t="shared" si="102"/>
        <v>-0.50872486227787306</v>
      </c>
      <c r="JN10" s="739">
        <v>25</v>
      </c>
    </row>
    <row r="11" spans="1:277" x14ac:dyDescent="0.3">
      <c r="A11" s="264">
        <v>8</v>
      </c>
      <c r="B11" s="756" t="s">
        <v>235</v>
      </c>
      <c r="C11" s="273">
        <f>'Phase I Schedules'!MJ23</f>
        <v>23002882.909465492</v>
      </c>
      <c r="D11" s="737">
        <f t="shared" si="0"/>
        <v>0.16295945543326237</v>
      </c>
      <c r="E11" s="739">
        <v>1.0285469680518962</v>
      </c>
      <c r="I11" s="264">
        <f t="shared" si="103"/>
        <v>8</v>
      </c>
      <c r="J11" s="726">
        <f t="shared" si="1"/>
        <v>8</v>
      </c>
      <c r="K11" s="12" t="s">
        <v>411</v>
      </c>
      <c r="L11" s="399">
        <v>116940791</v>
      </c>
      <c r="M11" s="271">
        <f t="shared" si="2"/>
        <v>5.2288705071461557E-2</v>
      </c>
      <c r="N11" s="399">
        <v>840</v>
      </c>
      <c r="O11" s="399">
        <f t="shared" si="79"/>
        <v>139215.22738095239</v>
      </c>
      <c r="P11" s="271">
        <f t="shared" si="3"/>
        <v>7.5536743627756919E-2</v>
      </c>
      <c r="Q11" s="248" t="s">
        <v>385</v>
      </c>
      <c r="U11" s="727">
        <f t="shared" si="104"/>
        <v>8</v>
      </c>
      <c r="V11" s="728">
        <f t="shared" si="4"/>
        <v>8</v>
      </c>
      <c r="W11" s="12" t="s">
        <v>411</v>
      </c>
      <c r="X11" s="273">
        <f t="shared" si="80"/>
        <v>7918663.4351214487</v>
      </c>
      <c r="Y11" s="271">
        <f t="shared" si="5"/>
        <v>7.6451121000469927E-2</v>
      </c>
      <c r="AC11" s="727">
        <f t="shared" si="105"/>
        <v>8</v>
      </c>
      <c r="AD11" s="68">
        <v>8</v>
      </c>
      <c r="AE11" s="275" t="s">
        <v>411</v>
      </c>
      <c r="AF11" s="301">
        <v>5.63</v>
      </c>
      <c r="AP11" s="727">
        <f t="shared" si="81"/>
        <v>8</v>
      </c>
      <c r="AQ11" s="733">
        <f t="shared" si="6"/>
        <v>8</v>
      </c>
      <c r="AR11" s="12" t="s">
        <v>411</v>
      </c>
      <c r="AS11" s="12">
        <f t="shared" si="7"/>
        <v>5.63</v>
      </c>
      <c r="AT11" s="734">
        <v>116940791</v>
      </c>
      <c r="AU11" s="734">
        <f t="shared" si="106"/>
        <v>182882.40370277778</v>
      </c>
      <c r="AV11" s="735">
        <f t="shared" si="8"/>
        <v>180180.82628373164</v>
      </c>
      <c r="AW11" s="736">
        <f t="shared" si="9"/>
        <v>21.544156020912027</v>
      </c>
      <c r="AX11" s="273">
        <f t="shared" si="116"/>
        <v>3881843.833433561</v>
      </c>
      <c r="AY11" s="271">
        <f t="shared" si="10"/>
        <v>8.5776021993069815E-2</v>
      </c>
      <c r="AZ11" s="269">
        <f t="shared" si="11"/>
        <v>3.3194949999999999</v>
      </c>
      <c r="BK11" s="264">
        <f t="shared" si="107"/>
        <v>8</v>
      </c>
      <c r="BL11" s="248">
        <f t="shared" si="12"/>
        <v>8</v>
      </c>
      <c r="BM11" s="12" t="s">
        <v>411</v>
      </c>
      <c r="BN11" s="271">
        <f t="shared" si="13"/>
        <v>8.5776021993069815E-2</v>
      </c>
      <c r="BO11" s="273">
        <f t="shared" si="14"/>
        <v>794900.92876558832</v>
      </c>
      <c r="BP11" s="271">
        <f t="shared" si="15"/>
        <v>5.2288705071461557E-2</v>
      </c>
      <c r="BQ11" s="273">
        <f t="shared" si="16"/>
        <v>484568.28912645153</v>
      </c>
      <c r="BR11" s="464">
        <f t="shared" si="17"/>
        <v>1279469.2178920398</v>
      </c>
      <c r="BS11" s="269">
        <f t="shared" si="18"/>
        <v>1.094117</v>
      </c>
      <c r="BV11" s="15"/>
      <c r="BW11" s="205"/>
      <c r="BX11" s="205"/>
      <c r="BY11" s="205"/>
      <c r="BZ11" s="205"/>
      <c r="CA11" s="205"/>
      <c r="CB11" s="205"/>
      <c r="CC11" s="205"/>
      <c r="CD11" s="205"/>
      <c r="CH11" s="264">
        <f t="shared" si="108"/>
        <v>8</v>
      </c>
      <c r="CI11" s="68">
        <f t="shared" si="20"/>
        <v>8</v>
      </c>
      <c r="CJ11" s="12" t="s">
        <v>411</v>
      </c>
      <c r="CK11" s="271">
        <f t="shared" si="21"/>
        <v>5.2288705071461557E-2</v>
      </c>
      <c r="CL11" s="273">
        <f t="shared" si="22"/>
        <v>328197.87219749537</v>
      </c>
      <c r="CM11" s="271">
        <f t="shared" si="23"/>
        <v>7.5536743627756919E-2</v>
      </c>
      <c r="CN11" s="273">
        <f t="shared" si="24"/>
        <v>1581004.465553852</v>
      </c>
      <c r="CO11" s="273">
        <f t="shared" si="25"/>
        <v>1909202.3377513473</v>
      </c>
      <c r="CP11" s="271">
        <f t="shared" si="26"/>
        <v>7.0173409976682491E-2</v>
      </c>
      <c r="CQ11" s="269">
        <f t="shared" si="27"/>
        <v>1.6326229999999999</v>
      </c>
      <c r="DC11" s="579"/>
      <c r="DD11" s="15"/>
      <c r="DG11" s="727">
        <f t="shared" si="109"/>
        <v>8</v>
      </c>
      <c r="DH11" s="740">
        <f t="shared" si="29"/>
        <v>8</v>
      </c>
      <c r="DI11" s="12" t="s">
        <v>411</v>
      </c>
      <c r="DJ11" s="271">
        <f t="shared" si="30"/>
        <v>7.0173409976682491E-2</v>
      </c>
      <c r="DK11" s="273">
        <f t="shared" si="31"/>
        <v>22072.157028802161</v>
      </c>
      <c r="DL11" s="271">
        <f t="shared" si="32"/>
        <v>7.5536743627756919E-2</v>
      </c>
      <c r="DM11" s="273">
        <f t="shared" si="33"/>
        <v>267916.76779836119</v>
      </c>
      <c r="DN11" s="271">
        <f t="shared" si="34"/>
        <v>5.2288705071461557E-2</v>
      </c>
      <c r="DO11" s="273">
        <f t="shared" si="35"/>
        <v>226072.41958750581</v>
      </c>
      <c r="DP11" s="273">
        <f t="shared" si="82"/>
        <v>516061.34441466915</v>
      </c>
      <c r="DQ11" s="271">
        <f t="shared" si="36"/>
        <v>6.3050262927581799E-2</v>
      </c>
      <c r="DR11" s="269">
        <f t="shared" si="37"/>
        <v>0.441301</v>
      </c>
      <c r="DV11" s="727">
        <f t="shared" si="110"/>
        <v>8</v>
      </c>
      <c r="DW11" s="740">
        <f t="shared" si="38"/>
        <v>8</v>
      </c>
      <c r="DX11" s="12" t="s">
        <v>411</v>
      </c>
      <c r="DY11" s="271">
        <f t="shared" si="39"/>
        <v>7.5536743627756919E-2</v>
      </c>
      <c r="DZ11" s="273">
        <f t="shared" si="40"/>
        <v>332086.70162983169</v>
      </c>
      <c r="EA11" s="269">
        <f t="shared" si="41"/>
        <v>0.28397800000000001</v>
      </c>
      <c r="EG11" s="16"/>
      <c r="EH11" s="16"/>
      <c r="EI11" s="16"/>
      <c r="EM11" s="727">
        <f t="shared" si="111"/>
        <v>8</v>
      </c>
      <c r="EN11" s="740">
        <f t="shared" si="42"/>
        <v>8</v>
      </c>
      <c r="EO11" s="12" t="s">
        <v>411</v>
      </c>
      <c r="EP11" s="271">
        <f t="shared" si="43"/>
        <v>7.6451121000469927E-2</v>
      </c>
      <c r="EQ11" s="273">
        <f t="shared" si="44"/>
        <v>636106.0476402404</v>
      </c>
      <c r="ER11" s="271">
        <f t="shared" si="45"/>
        <v>7.0173409976682491E-2</v>
      </c>
      <c r="ES11" s="273">
        <f t="shared" si="46"/>
        <v>76653.597124195861</v>
      </c>
      <c r="ET11" s="271">
        <f t="shared" si="47"/>
        <v>5.2288705071461557E-2</v>
      </c>
      <c r="EU11" s="273">
        <f t="shared" si="48"/>
        <v>286418.24295684951</v>
      </c>
      <c r="EV11" s="273">
        <f t="shared" si="49"/>
        <v>999177.88772128581</v>
      </c>
      <c r="EW11" s="271">
        <f t="shared" si="50"/>
        <v>6.7102131751445235E-2</v>
      </c>
      <c r="EX11" s="269">
        <f t="shared" si="51"/>
        <v>0.85443100000000005</v>
      </c>
      <c r="FH11" s="727">
        <f t="shared" si="112"/>
        <v>8</v>
      </c>
      <c r="FI11" s="728">
        <f t="shared" si="52"/>
        <v>8</v>
      </c>
      <c r="FJ11" s="12" t="s">
        <v>411</v>
      </c>
      <c r="FK11" s="271">
        <f t="shared" si="53"/>
        <v>7.6451121000469927E-2</v>
      </c>
      <c r="FL11" s="273">
        <f t="shared" si="54"/>
        <v>1734566.3969495881</v>
      </c>
      <c r="FM11" s="269">
        <f t="shared" si="55"/>
        <v>1.4832860000000001</v>
      </c>
      <c r="FQ11" s="264">
        <f t="shared" si="83"/>
        <v>8</v>
      </c>
      <c r="FR11" s="728">
        <v>8</v>
      </c>
      <c r="FS11" s="12" t="s">
        <v>411</v>
      </c>
      <c r="FT11" s="273">
        <f t="shared" si="84"/>
        <v>3881843.833433561</v>
      </c>
      <c r="FU11" s="273">
        <f t="shared" si="56"/>
        <v>1279469.2178920398</v>
      </c>
      <c r="FV11" s="273">
        <f t="shared" si="57"/>
        <v>1909202.3377513473</v>
      </c>
      <c r="FW11" s="273">
        <f t="shared" si="58"/>
        <v>516061.34441466915</v>
      </c>
      <c r="FX11" s="273">
        <f t="shared" si="59"/>
        <v>332086.70162983169</v>
      </c>
      <c r="FY11" s="273">
        <f t="shared" si="60"/>
        <v>999177.88772128581</v>
      </c>
      <c r="FZ11" s="273">
        <f t="shared" si="61"/>
        <v>1734566.3969495881</v>
      </c>
      <c r="GA11" s="273">
        <f t="shared" si="62"/>
        <v>10652407.719792321</v>
      </c>
      <c r="GB11" s="352">
        <f t="shared" si="63"/>
        <v>9.1092320000000004</v>
      </c>
      <c r="GF11" s="727">
        <f t="shared" si="85"/>
        <v>8</v>
      </c>
      <c r="GG11" s="728">
        <f t="shared" si="64"/>
        <v>8</v>
      </c>
      <c r="GH11" s="12" t="s">
        <v>411</v>
      </c>
      <c r="GI11" s="269">
        <f t="shared" si="86"/>
        <v>3.3194949999999999</v>
      </c>
      <c r="GJ11" s="269">
        <f t="shared" si="65"/>
        <v>1.094117</v>
      </c>
      <c r="GK11" s="269">
        <f t="shared" si="66"/>
        <v>1.6326229999999999</v>
      </c>
      <c r="GL11" s="269">
        <f t="shared" si="67"/>
        <v>0.441301</v>
      </c>
      <c r="GM11" s="269">
        <f t="shared" si="68"/>
        <v>0.28397800000000001</v>
      </c>
      <c r="GN11" s="269">
        <f t="shared" si="69"/>
        <v>0.85443100000000005</v>
      </c>
      <c r="GO11" s="269">
        <f t="shared" si="70"/>
        <v>1.4832860000000001</v>
      </c>
      <c r="GP11" s="269">
        <f t="shared" si="71"/>
        <v>9.1092320000000004</v>
      </c>
      <c r="GQ11" s="399">
        <v>116940791</v>
      </c>
      <c r="GR11" s="708"/>
      <c r="GU11" s="264">
        <f t="shared" si="87"/>
        <v>8</v>
      </c>
      <c r="GV11" s="728">
        <f t="shared" si="72"/>
        <v>8</v>
      </c>
      <c r="GW11" s="12" t="s">
        <v>411</v>
      </c>
      <c r="GX11" s="248" t="s">
        <v>385</v>
      </c>
      <c r="GY11" s="273">
        <f t="shared" si="73"/>
        <v>10652407.719792321</v>
      </c>
      <c r="GZ11" s="399">
        <f t="shared" si="74"/>
        <v>116940791</v>
      </c>
      <c r="HA11" s="352">
        <f t="shared" si="88"/>
        <v>9.1092320000000004</v>
      </c>
      <c r="HB11" s="273">
        <f t="shared" si="75"/>
        <v>10652407.95482512</v>
      </c>
      <c r="HC11" s="742">
        <f t="shared" si="76"/>
        <v>0.23503279872238636</v>
      </c>
      <c r="HD11" s="743"/>
      <c r="HG11" s="743"/>
      <c r="HH11" s="743"/>
      <c r="HI11" s="743"/>
      <c r="HJ11" s="743"/>
      <c r="HK11" s="743"/>
      <c r="HL11" s="743"/>
      <c r="HM11" s="743"/>
      <c r="HP11" s="727">
        <f t="shared" si="113"/>
        <v>8</v>
      </c>
      <c r="HQ11" s="746">
        <f t="shared" si="77"/>
        <v>8</v>
      </c>
      <c r="HR11" s="12" t="s">
        <v>411</v>
      </c>
      <c r="HS11" s="399">
        <v>116940791</v>
      </c>
      <c r="HT11" s="747">
        <f t="shared" si="89"/>
        <v>9.1092320000000004</v>
      </c>
      <c r="HU11" s="747">
        <v>9.282</v>
      </c>
      <c r="HV11" s="737">
        <f t="shared" si="90"/>
        <v>-1.8613229907347484E-2</v>
      </c>
      <c r="HW11" s="747">
        <f t="shared" si="91"/>
        <v>-0.17276799999999959</v>
      </c>
      <c r="HX11" s="739">
        <v>10</v>
      </c>
      <c r="IO11" s="727">
        <f t="shared" si="114"/>
        <v>8</v>
      </c>
      <c r="IP11" s="746">
        <v>8</v>
      </c>
      <c r="IQ11" s="12" t="s">
        <v>411</v>
      </c>
      <c r="IR11" s="753">
        <f t="shared" si="92"/>
        <v>10652407.719792321</v>
      </c>
      <c r="IS11" s="754">
        <f t="shared" si="92"/>
        <v>116940791</v>
      </c>
      <c r="IT11" s="755">
        <f t="shared" si="92"/>
        <v>9.1092320000000004</v>
      </c>
      <c r="IU11" s="399">
        <f t="shared" si="93"/>
        <v>16770333.142716069</v>
      </c>
      <c r="IV11" s="399">
        <f t="shared" si="94"/>
        <v>100170457.85728393</v>
      </c>
      <c r="IW11" s="753">
        <f t="shared" si="95"/>
        <v>251554.99714074103</v>
      </c>
      <c r="IX11" s="753">
        <f t="shared" si="96"/>
        <v>10400852.72265158</v>
      </c>
      <c r="IY11" s="633">
        <f t="shared" si="97"/>
        <v>8.8941186678407025</v>
      </c>
      <c r="IZ11" s="633">
        <f t="shared" si="98"/>
        <v>10.394118667840702</v>
      </c>
      <c r="JA11" s="753">
        <f t="shared" si="99"/>
        <v>10652407.719792321</v>
      </c>
      <c r="JB11" s="352">
        <f t="shared" si="100"/>
        <v>0.21511333215929795</v>
      </c>
      <c r="JF11" s="727">
        <f t="shared" si="115"/>
        <v>8</v>
      </c>
      <c r="JG11" s="746">
        <f t="shared" si="78"/>
        <v>8</v>
      </c>
      <c r="JH11" s="12" t="s">
        <v>411</v>
      </c>
      <c r="JI11" s="399">
        <v>116940791</v>
      </c>
      <c r="JJ11" s="747">
        <f t="shared" si="101"/>
        <v>8.8941186678407025</v>
      </c>
      <c r="JK11" s="747">
        <v>9.0630000000000006</v>
      </c>
      <c r="JL11" s="737">
        <f t="shared" si="117"/>
        <v>-1.8634153388425223E-2</v>
      </c>
      <c r="JM11" s="747">
        <f t="shared" si="102"/>
        <v>-0.16888133215929813</v>
      </c>
      <c r="JN11" s="739">
        <v>10</v>
      </c>
    </row>
    <row r="12" spans="1:277" x14ac:dyDescent="0.3">
      <c r="A12" s="722">
        <v>9</v>
      </c>
      <c r="B12" s="723" t="s">
        <v>388</v>
      </c>
      <c r="C12" s="310">
        <f>-'Phase I Schedules'!MJ10</f>
        <v>-314315.70141989313</v>
      </c>
      <c r="D12" s="724">
        <f t="shared" si="0"/>
        <v>-2.2267085277573092E-3</v>
      </c>
      <c r="E12" s="725">
        <v>-1.4054258458773689E-2</v>
      </c>
      <c r="I12" s="264">
        <f t="shared" si="103"/>
        <v>9</v>
      </c>
      <c r="J12" s="726">
        <f t="shared" si="1"/>
        <v>9</v>
      </c>
      <c r="K12" s="12" t="s">
        <v>412</v>
      </c>
      <c r="L12" s="399">
        <v>4618312</v>
      </c>
      <c r="M12" s="271">
        <f t="shared" si="2"/>
        <v>2.0650241205910072E-3</v>
      </c>
      <c r="N12" s="399">
        <v>339</v>
      </c>
      <c r="O12" s="399">
        <f t="shared" si="79"/>
        <v>13623.339233038349</v>
      </c>
      <c r="P12" s="271">
        <f t="shared" si="3"/>
        <v>7.3918830745721854E-3</v>
      </c>
      <c r="Q12" s="248" t="s">
        <v>385</v>
      </c>
      <c r="U12" s="727">
        <f t="shared" si="104"/>
        <v>9</v>
      </c>
      <c r="V12" s="728">
        <f t="shared" si="4"/>
        <v>9</v>
      </c>
      <c r="W12" s="12" t="s">
        <v>412</v>
      </c>
      <c r="X12" s="273">
        <f t="shared" si="80"/>
        <v>703867.43472338235</v>
      </c>
      <c r="Y12" s="271">
        <f t="shared" si="5"/>
        <v>6.7955223581872524E-3</v>
      </c>
      <c r="AC12" s="727">
        <f t="shared" si="105"/>
        <v>9</v>
      </c>
      <c r="AD12" s="68">
        <v>9</v>
      </c>
      <c r="AE12" s="275" t="s">
        <v>412</v>
      </c>
      <c r="AF12" s="301">
        <v>13.64</v>
      </c>
      <c r="AP12" s="727">
        <f t="shared" si="81"/>
        <v>9</v>
      </c>
      <c r="AQ12" s="733">
        <f t="shared" si="6"/>
        <v>9</v>
      </c>
      <c r="AR12" s="12" t="s">
        <v>412</v>
      </c>
      <c r="AS12" s="12">
        <f t="shared" si="7"/>
        <v>13.64</v>
      </c>
      <c r="AT12" s="734">
        <v>4618312</v>
      </c>
      <c r="AU12" s="734">
        <f t="shared" si="106"/>
        <v>17498.271022222223</v>
      </c>
      <c r="AV12" s="735">
        <f t="shared" si="8"/>
        <v>17239.782874052358</v>
      </c>
      <c r="AW12" s="736">
        <f t="shared" si="9"/>
        <v>21.544156020912027</v>
      </c>
      <c r="AX12" s="273">
        <f t="shared" si="116"/>
        <v>371416.57200523117</v>
      </c>
      <c r="AY12" s="271">
        <f t="shared" si="10"/>
        <v>8.2070885424393204E-3</v>
      </c>
      <c r="AZ12" s="269">
        <f t="shared" si="11"/>
        <v>8.0422580000000004</v>
      </c>
      <c r="BK12" s="264">
        <f t="shared" si="107"/>
        <v>9</v>
      </c>
      <c r="BL12" s="248">
        <f t="shared" si="12"/>
        <v>9</v>
      </c>
      <c r="BM12" s="12" t="s">
        <v>412</v>
      </c>
      <c r="BN12" s="271">
        <f t="shared" si="13"/>
        <v>8.2070885424393204E-3</v>
      </c>
      <c r="BO12" s="273">
        <f t="shared" si="14"/>
        <v>76056.480042563868</v>
      </c>
      <c r="BP12" s="271">
        <f t="shared" si="15"/>
        <v>2.0650241205910072E-3</v>
      </c>
      <c r="BQ12" s="273">
        <f t="shared" si="16"/>
        <v>19136.928400733672</v>
      </c>
      <c r="BR12" s="464">
        <f t="shared" si="17"/>
        <v>95193.408443297536</v>
      </c>
      <c r="BS12" s="269">
        <f t="shared" si="18"/>
        <v>2.0612159999999999</v>
      </c>
      <c r="BV12" s="15"/>
      <c r="BW12" s="205"/>
      <c r="BX12" s="205"/>
      <c r="BY12" s="205"/>
      <c r="BZ12" s="205"/>
      <c r="CA12" s="205"/>
      <c r="CB12" s="205"/>
      <c r="CC12" s="205"/>
      <c r="CD12" s="205"/>
      <c r="CH12" s="264">
        <f t="shared" si="108"/>
        <v>9</v>
      </c>
      <c r="CI12" s="68">
        <f t="shared" si="20"/>
        <v>9</v>
      </c>
      <c r="CJ12" s="12" t="s">
        <v>412</v>
      </c>
      <c r="CK12" s="271">
        <f t="shared" si="21"/>
        <v>2.0650241205910072E-3</v>
      </c>
      <c r="CL12" s="273">
        <f t="shared" si="22"/>
        <v>12961.432521387334</v>
      </c>
      <c r="CM12" s="271">
        <f t="shared" si="23"/>
        <v>7.3918830745721854E-3</v>
      </c>
      <c r="CN12" s="273">
        <f t="shared" si="24"/>
        <v>154714.11115286913</v>
      </c>
      <c r="CO12" s="273">
        <f t="shared" si="25"/>
        <v>167675.54367425645</v>
      </c>
      <c r="CP12" s="271">
        <f t="shared" si="26"/>
        <v>6.1629741576658221E-3</v>
      </c>
      <c r="CQ12" s="269">
        <f t="shared" si="27"/>
        <v>3.6306669999999999</v>
      </c>
      <c r="DD12" s="15"/>
      <c r="DG12" s="727">
        <f t="shared" si="109"/>
        <v>9</v>
      </c>
      <c r="DH12" s="740">
        <f t="shared" si="29"/>
        <v>9</v>
      </c>
      <c r="DI12" s="12" t="s">
        <v>412</v>
      </c>
      <c r="DJ12" s="271">
        <f t="shared" si="30"/>
        <v>6.1629741576658221E-3</v>
      </c>
      <c r="DK12" s="273">
        <f t="shared" si="31"/>
        <v>1938.4854379693165</v>
      </c>
      <c r="DL12" s="271">
        <f t="shared" si="32"/>
        <v>7.3918830745721854E-3</v>
      </c>
      <c r="DM12" s="273">
        <f t="shared" si="33"/>
        <v>26217.82891571548</v>
      </c>
      <c r="DN12" s="271">
        <f t="shared" si="34"/>
        <v>2.0650241205910072E-3</v>
      </c>
      <c r="DO12" s="273">
        <f t="shared" si="35"/>
        <v>8928.2187962112639</v>
      </c>
      <c r="DP12" s="273">
        <f t="shared" si="82"/>
        <v>37084.533149896059</v>
      </c>
      <c r="DQ12" s="271">
        <f t="shared" si="36"/>
        <v>4.5308364808831171E-3</v>
      </c>
      <c r="DR12" s="269">
        <f t="shared" si="37"/>
        <v>0.80298899999999995</v>
      </c>
      <c r="DV12" s="727">
        <f t="shared" si="110"/>
        <v>9</v>
      </c>
      <c r="DW12" s="740">
        <f t="shared" si="38"/>
        <v>9</v>
      </c>
      <c r="DX12" s="12" t="s">
        <v>412</v>
      </c>
      <c r="DY12" s="271">
        <f t="shared" si="39"/>
        <v>7.3918830745721854E-3</v>
      </c>
      <c r="DZ12" s="273">
        <f t="shared" si="40"/>
        <v>32497.377450701078</v>
      </c>
      <c r="EA12" s="269">
        <f t="shared" si="41"/>
        <v>0.70366399999999996</v>
      </c>
      <c r="EM12" s="727">
        <f t="shared" si="111"/>
        <v>9</v>
      </c>
      <c r="EN12" s="740">
        <f t="shared" si="42"/>
        <v>9</v>
      </c>
      <c r="EO12" s="12" t="s">
        <v>412</v>
      </c>
      <c r="EP12" s="271">
        <f t="shared" si="43"/>
        <v>6.7955223581872524E-3</v>
      </c>
      <c r="EQ12" s="273">
        <f t="shared" si="44"/>
        <v>56541.654489157962</v>
      </c>
      <c r="ER12" s="271">
        <f t="shared" si="45"/>
        <v>6.1629741576658221E-3</v>
      </c>
      <c r="ES12" s="273">
        <f t="shared" si="46"/>
        <v>6732.0960792060978</v>
      </c>
      <c r="ET12" s="271">
        <f t="shared" si="47"/>
        <v>2.0650241205910072E-3</v>
      </c>
      <c r="EU12" s="273">
        <f t="shared" si="48"/>
        <v>11311.440577364774</v>
      </c>
      <c r="EV12" s="273">
        <f t="shared" si="49"/>
        <v>74585.191145728837</v>
      </c>
      <c r="EW12" s="271">
        <f t="shared" si="50"/>
        <v>5.0089432367057011E-3</v>
      </c>
      <c r="EX12" s="269">
        <f t="shared" si="51"/>
        <v>1.6149880000000001</v>
      </c>
      <c r="FH12" s="727">
        <f t="shared" si="112"/>
        <v>9</v>
      </c>
      <c r="FI12" s="728">
        <f t="shared" si="52"/>
        <v>9</v>
      </c>
      <c r="FJ12" s="12" t="s">
        <v>412</v>
      </c>
      <c r="FK12" s="271">
        <f t="shared" si="53"/>
        <v>6.7955223581872524E-3</v>
      </c>
      <c r="FL12" s="273">
        <f t="shared" si="54"/>
        <v>154180.66573750798</v>
      </c>
      <c r="FM12" s="269">
        <f t="shared" si="55"/>
        <v>3.3384640000000001</v>
      </c>
      <c r="FQ12" s="264">
        <f t="shared" si="83"/>
        <v>9</v>
      </c>
      <c r="FR12" s="728">
        <v>9</v>
      </c>
      <c r="FS12" s="12" t="s">
        <v>412</v>
      </c>
      <c r="FT12" s="273">
        <f t="shared" si="84"/>
        <v>371416.57200523117</v>
      </c>
      <c r="FU12" s="273">
        <f t="shared" si="56"/>
        <v>95193.408443297536</v>
      </c>
      <c r="FV12" s="273">
        <f t="shared" si="57"/>
        <v>167675.54367425645</v>
      </c>
      <c r="FW12" s="273">
        <f t="shared" si="58"/>
        <v>37084.533149896059</v>
      </c>
      <c r="FX12" s="273">
        <f t="shared" si="59"/>
        <v>32497.377450701078</v>
      </c>
      <c r="FY12" s="273">
        <f t="shared" si="60"/>
        <v>74585.191145728837</v>
      </c>
      <c r="FZ12" s="273">
        <f t="shared" si="61"/>
        <v>154180.66573750798</v>
      </c>
      <c r="GA12" s="273">
        <f t="shared" si="62"/>
        <v>932633.29160661914</v>
      </c>
      <c r="GB12" s="352">
        <f t="shared" si="63"/>
        <v>20.194246</v>
      </c>
      <c r="GF12" s="727">
        <f t="shared" si="85"/>
        <v>9</v>
      </c>
      <c r="GG12" s="728">
        <f t="shared" si="64"/>
        <v>9</v>
      </c>
      <c r="GH12" s="12" t="s">
        <v>412</v>
      </c>
      <c r="GI12" s="269">
        <f t="shared" si="86"/>
        <v>8.0422580000000004</v>
      </c>
      <c r="GJ12" s="269">
        <f t="shared" si="65"/>
        <v>2.0612159999999999</v>
      </c>
      <c r="GK12" s="269">
        <f t="shared" si="66"/>
        <v>3.6306669999999999</v>
      </c>
      <c r="GL12" s="269">
        <f t="shared" si="67"/>
        <v>0.80298899999999995</v>
      </c>
      <c r="GM12" s="269">
        <f t="shared" si="68"/>
        <v>0.70366399999999996</v>
      </c>
      <c r="GN12" s="269">
        <f t="shared" si="69"/>
        <v>1.6149880000000001</v>
      </c>
      <c r="GO12" s="269">
        <f t="shared" si="70"/>
        <v>3.3384640000000001</v>
      </c>
      <c r="GP12" s="269">
        <f t="shared" si="71"/>
        <v>20.194246</v>
      </c>
      <c r="GQ12" s="399">
        <v>4618312</v>
      </c>
      <c r="GR12" s="708"/>
      <c r="GU12" s="264">
        <f t="shared" si="87"/>
        <v>9</v>
      </c>
      <c r="GV12" s="728">
        <f t="shared" si="72"/>
        <v>9</v>
      </c>
      <c r="GW12" s="12" t="s">
        <v>412</v>
      </c>
      <c r="GX12" s="248" t="s">
        <v>385</v>
      </c>
      <c r="GY12" s="273">
        <f t="shared" si="73"/>
        <v>932633.29160661914</v>
      </c>
      <c r="GZ12" s="399">
        <f t="shared" si="74"/>
        <v>4618312</v>
      </c>
      <c r="HA12" s="352">
        <f t="shared" si="88"/>
        <v>20.194246</v>
      </c>
      <c r="HB12" s="273">
        <f t="shared" si="75"/>
        <v>932633.28632752004</v>
      </c>
      <c r="HC12" s="742">
        <f t="shared" si="76"/>
        <v>-5.279099103063345E-3</v>
      </c>
      <c r="HD12" s="743"/>
      <c r="HG12" s="743"/>
      <c r="HH12" s="743"/>
      <c r="HI12" s="743"/>
      <c r="HJ12" s="743"/>
      <c r="HK12" s="743"/>
      <c r="HL12" s="743"/>
      <c r="HM12" s="743"/>
      <c r="HP12" s="727">
        <f t="shared" si="113"/>
        <v>9</v>
      </c>
      <c r="HQ12" s="746">
        <f t="shared" si="77"/>
        <v>9</v>
      </c>
      <c r="HR12" s="12" t="s">
        <v>412</v>
      </c>
      <c r="HS12" s="399">
        <v>4618312</v>
      </c>
      <c r="HT12" s="747">
        <f t="shared" si="89"/>
        <v>20.194246</v>
      </c>
      <c r="HU12" s="747">
        <v>18.353000000000002</v>
      </c>
      <c r="HV12" s="737">
        <f t="shared" si="90"/>
        <v>0.10032397973083418</v>
      </c>
      <c r="HW12" s="747">
        <f t="shared" si="91"/>
        <v>1.8412459999999982</v>
      </c>
      <c r="HX12" s="739">
        <v>25</v>
      </c>
      <c r="IO12" s="727">
        <f t="shared" si="114"/>
        <v>9</v>
      </c>
      <c r="IP12" s="746">
        <v>9</v>
      </c>
      <c r="IQ12" s="12" t="s">
        <v>412</v>
      </c>
      <c r="IR12" s="753">
        <f t="shared" si="92"/>
        <v>932633.29160661914</v>
      </c>
      <c r="IS12" s="754">
        <f t="shared" si="92"/>
        <v>4618312</v>
      </c>
      <c r="IT12" s="755">
        <f t="shared" si="92"/>
        <v>20.194246</v>
      </c>
      <c r="IU12" s="399">
        <f t="shared" si="93"/>
        <v>662306.37004159938</v>
      </c>
      <c r="IV12" s="399">
        <f t="shared" si="94"/>
        <v>3956005.6299584005</v>
      </c>
      <c r="IW12" s="753">
        <f t="shared" si="95"/>
        <v>9934.5955506239898</v>
      </c>
      <c r="IX12" s="753">
        <f t="shared" si="96"/>
        <v>922698.69605599518</v>
      </c>
      <c r="IY12" s="633">
        <f t="shared" si="97"/>
        <v>19.979132983133127</v>
      </c>
      <c r="IZ12" s="633">
        <f t="shared" si="98"/>
        <v>21.479132983133127</v>
      </c>
      <c r="JA12" s="753">
        <f t="shared" si="99"/>
        <v>932633.29160661902</v>
      </c>
      <c r="JB12" s="352">
        <f t="shared" si="100"/>
        <v>0.2151130168668729</v>
      </c>
      <c r="JF12" s="727">
        <f t="shared" si="115"/>
        <v>9</v>
      </c>
      <c r="JG12" s="746">
        <f t="shared" si="78"/>
        <v>9</v>
      </c>
      <c r="JH12" s="12" t="s">
        <v>412</v>
      </c>
      <c r="JI12" s="399">
        <v>4618312</v>
      </c>
      <c r="JJ12" s="747">
        <f t="shared" si="101"/>
        <v>19.979132983133127</v>
      </c>
      <c r="JK12" s="747">
        <v>18.134</v>
      </c>
      <c r="JL12" s="737">
        <f t="shared" si="117"/>
        <v>0.10174991635232855</v>
      </c>
      <c r="JM12" s="747">
        <f t="shared" si="102"/>
        <v>1.8451329831331265</v>
      </c>
      <c r="JN12" s="739">
        <v>25</v>
      </c>
    </row>
    <row r="13" spans="1:277" ht="20.25" customHeight="1" x14ac:dyDescent="0.3">
      <c r="A13" s="786">
        <v>10</v>
      </c>
      <c r="B13" s="787" t="s">
        <v>288</v>
      </c>
      <c r="C13" s="788">
        <f>SUM(C4:C12)</f>
        <v>141157092.40870643</v>
      </c>
      <c r="D13" s="789">
        <f>SUM(D4:D12)</f>
        <v>0.99999999999999989</v>
      </c>
      <c r="E13" s="790">
        <f>SUM(E4:E12)</f>
        <v>6.3116740622217069</v>
      </c>
      <c r="I13" s="264">
        <f t="shared" si="103"/>
        <v>10</v>
      </c>
      <c r="J13" s="726">
        <f t="shared" si="1"/>
        <v>10</v>
      </c>
      <c r="K13" s="12" t="s">
        <v>413</v>
      </c>
      <c r="L13" s="399">
        <v>55679098</v>
      </c>
      <c r="M13" s="271">
        <f t="shared" si="2"/>
        <v>2.4896256550607777E-2</v>
      </c>
      <c r="N13" s="399">
        <v>239</v>
      </c>
      <c r="O13" s="399">
        <f t="shared" si="79"/>
        <v>232966.93723849373</v>
      </c>
      <c r="P13" s="271">
        <f t="shared" si="3"/>
        <v>0.12640545249962762</v>
      </c>
      <c r="Q13" s="248" t="s">
        <v>385</v>
      </c>
      <c r="U13" s="727">
        <f t="shared" si="104"/>
        <v>10</v>
      </c>
      <c r="V13" s="728">
        <f t="shared" si="4"/>
        <v>10</v>
      </c>
      <c r="W13" s="12" t="s">
        <v>413</v>
      </c>
      <c r="X13" s="273">
        <f t="shared" si="80"/>
        <v>7348799.5326164346</v>
      </c>
      <c r="Y13" s="271">
        <f t="shared" si="5"/>
        <v>7.0949342256978895E-2</v>
      </c>
      <c r="AC13" s="727">
        <f t="shared" si="105"/>
        <v>10</v>
      </c>
      <c r="AD13" s="68">
        <v>10</v>
      </c>
      <c r="AE13" s="275" t="s">
        <v>413</v>
      </c>
      <c r="AF13" s="301">
        <v>8.02</v>
      </c>
      <c r="AP13" s="727">
        <f t="shared" si="81"/>
        <v>10</v>
      </c>
      <c r="AQ13" s="733">
        <f t="shared" si="6"/>
        <v>10</v>
      </c>
      <c r="AR13" s="12" t="s">
        <v>413</v>
      </c>
      <c r="AS13" s="12">
        <f t="shared" si="7"/>
        <v>8.02</v>
      </c>
      <c r="AT13" s="734">
        <v>55679098</v>
      </c>
      <c r="AU13" s="734">
        <f t="shared" si="106"/>
        <v>124040.6572111111</v>
      </c>
      <c r="AV13" s="735">
        <f t="shared" si="8"/>
        <v>122208.30247506009</v>
      </c>
      <c r="AW13" s="736">
        <f t="shared" si="9"/>
        <v>21.544156020912027</v>
      </c>
      <c r="AX13" s="273">
        <f t="shared" si="116"/>
        <v>2632874.7355735041</v>
      </c>
      <c r="AY13" s="271">
        <f t="shared" si="10"/>
        <v>5.8177899707983205E-2</v>
      </c>
      <c r="AZ13" s="269">
        <f t="shared" si="11"/>
        <v>4.7286590000000004</v>
      </c>
      <c r="BK13" s="264">
        <f t="shared" si="107"/>
        <v>10</v>
      </c>
      <c r="BL13" s="248">
        <f t="shared" si="12"/>
        <v>10</v>
      </c>
      <c r="BM13" s="12" t="s">
        <v>413</v>
      </c>
      <c r="BN13" s="271">
        <f t="shared" si="13"/>
        <v>5.8177899707983205E-2</v>
      </c>
      <c r="BO13" s="273">
        <f t="shared" si="14"/>
        <v>539144.45362415467</v>
      </c>
      <c r="BP13" s="271">
        <f t="shared" si="15"/>
        <v>2.4896256550607777E-2</v>
      </c>
      <c r="BQ13" s="273">
        <f t="shared" si="16"/>
        <v>230717.8276052881</v>
      </c>
      <c r="BR13" s="464">
        <f t="shared" si="17"/>
        <v>769862.2812294428</v>
      </c>
      <c r="BS13" s="269">
        <f t="shared" si="18"/>
        <v>1.3826769999999999</v>
      </c>
      <c r="BV13" s="15"/>
      <c r="BW13" s="205"/>
      <c r="BX13" s="205"/>
      <c r="BY13" s="205"/>
      <c r="BZ13" s="205"/>
      <c r="CA13" s="205"/>
      <c r="CB13" s="205"/>
      <c r="CC13" s="205"/>
      <c r="CD13" s="205"/>
      <c r="CH13" s="264">
        <f t="shared" si="108"/>
        <v>10</v>
      </c>
      <c r="CI13" s="68">
        <f t="shared" si="20"/>
        <v>10</v>
      </c>
      <c r="CJ13" s="12" t="s">
        <v>413</v>
      </c>
      <c r="CK13" s="271">
        <f t="shared" si="21"/>
        <v>2.4896256550607777E-2</v>
      </c>
      <c r="CL13" s="273">
        <f t="shared" si="22"/>
        <v>156265.07511374555</v>
      </c>
      <c r="CM13" s="271">
        <f t="shared" si="23"/>
        <v>0.12640545249962762</v>
      </c>
      <c r="CN13" s="273">
        <f t="shared" si="24"/>
        <v>2645700.2946421709</v>
      </c>
      <c r="CO13" s="273">
        <f t="shared" si="25"/>
        <v>2801965.3697559163</v>
      </c>
      <c r="CP13" s="271">
        <f t="shared" si="26"/>
        <v>0.10298723228253072</v>
      </c>
      <c r="CQ13" s="269">
        <f t="shared" si="27"/>
        <v>5.0323469999999997</v>
      </c>
      <c r="DC13" s="216"/>
      <c r="DD13" s="15"/>
      <c r="DG13" s="727">
        <f t="shared" si="109"/>
        <v>10</v>
      </c>
      <c r="DH13" s="740">
        <f t="shared" si="29"/>
        <v>10</v>
      </c>
      <c r="DI13" s="12" t="s">
        <v>413</v>
      </c>
      <c r="DJ13" s="271">
        <f t="shared" si="30"/>
        <v>0.10298723228253072</v>
      </c>
      <c r="DK13" s="273">
        <f t="shared" si="31"/>
        <v>32393.329092274027</v>
      </c>
      <c r="DL13" s="271">
        <f t="shared" si="32"/>
        <v>0.12640545249962762</v>
      </c>
      <c r="DM13" s="273">
        <f t="shared" si="33"/>
        <v>448339.95535577962</v>
      </c>
      <c r="DN13" s="271">
        <f t="shared" si="34"/>
        <v>2.4896256550607777E-2</v>
      </c>
      <c r="DO13" s="273">
        <f t="shared" si="35"/>
        <v>107640.01421291784</v>
      </c>
      <c r="DP13" s="273">
        <f t="shared" si="82"/>
        <v>588373.29866097146</v>
      </c>
      <c r="DQ13" s="271">
        <f t="shared" si="36"/>
        <v>7.1885041539430539E-2</v>
      </c>
      <c r="DR13" s="269">
        <f t="shared" si="37"/>
        <v>1.0567219999999999</v>
      </c>
      <c r="DV13" s="727">
        <f t="shared" si="110"/>
        <v>10</v>
      </c>
      <c r="DW13" s="740">
        <f t="shared" si="38"/>
        <v>10</v>
      </c>
      <c r="DX13" s="12" t="s">
        <v>413</v>
      </c>
      <c r="DY13" s="271">
        <f t="shared" si="39"/>
        <v>0.12640545249962762</v>
      </c>
      <c r="DZ13" s="273">
        <f t="shared" si="40"/>
        <v>555723.84739660018</v>
      </c>
      <c r="EA13" s="269">
        <f t="shared" si="41"/>
        <v>0.99808300000000005</v>
      </c>
      <c r="EM13" s="727">
        <f t="shared" si="111"/>
        <v>10</v>
      </c>
      <c r="EN13" s="740">
        <f t="shared" si="42"/>
        <v>10</v>
      </c>
      <c r="EO13" s="12" t="s">
        <v>413</v>
      </c>
      <c r="EP13" s="271">
        <f t="shared" si="43"/>
        <v>7.0949342256978895E-2</v>
      </c>
      <c r="EQ13" s="273">
        <f t="shared" si="44"/>
        <v>590328.89374485589</v>
      </c>
      <c r="ER13" s="271">
        <f t="shared" si="45"/>
        <v>0.10298723228253072</v>
      </c>
      <c r="ES13" s="273">
        <f t="shared" si="46"/>
        <v>112497.62288798923</v>
      </c>
      <c r="ET13" s="271">
        <f t="shared" si="47"/>
        <v>2.4896256550607777E-2</v>
      </c>
      <c r="EU13" s="273">
        <f t="shared" si="48"/>
        <v>136372.51195420965</v>
      </c>
      <c r="EV13" s="273">
        <f t="shared" si="49"/>
        <v>839199.02858705481</v>
      </c>
      <c r="EW13" s="271">
        <f t="shared" si="50"/>
        <v>5.635837669542311E-2</v>
      </c>
      <c r="EX13" s="269">
        <f t="shared" si="51"/>
        <v>1.507207</v>
      </c>
      <c r="FH13" s="727">
        <f t="shared" si="112"/>
        <v>10</v>
      </c>
      <c r="FI13" s="728">
        <f t="shared" si="52"/>
        <v>10</v>
      </c>
      <c r="FJ13" s="12" t="s">
        <v>413</v>
      </c>
      <c r="FK13" s="271">
        <f t="shared" si="53"/>
        <v>7.0949342256978895E-2</v>
      </c>
      <c r="FL13" s="273">
        <f t="shared" si="54"/>
        <v>1609738.9201640952</v>
      </c>
      <c r="FM13" s="269">
        <f t="shared" si="55"/>
        <v>2.8911009999999999</v>
      </c>
      <c r="FQ13" s="264">
        <f t="shared" si="83"/>
        <v>10</v>
      </c>
      <c r="FR13" s="728">
        <v>10</v>
      </c>
      <c r="FS13" s="12" t="s">
        <v>413</v>
      </c>
      <c r="FT13" s="273">
        <f t="shared" si="84"/>
        <v>2632874.7355735041</v>
      </c>
      <c r="FU13" s="273">
        <f t="shared" si="56"/>
        <v>769862.2812294428</v>
      </c>
      <c r="FV13" s="273">
        <f t="shared" si="57"/>
        <v>2801965.3697559163</v>
      </c>
      <c r="FW13" s="273">
        <f t="shared" si="58"/>
        <v>588373.29866097146</v>
      </c>
      <c r="FX13" s="273">
        <f t="shared" si="59"/>
        <v>555723.84739660018</v>
      </c>
      <c r="FY13" s="273">
        <f t="shared" si="60"/>
        <v>839199.02858705481</v>
      </c>
      <c r="FZ13" s="273">
        <f t="shared" si="61"/>
        <v>1609738.9201640952</v>
      </c>
      <c r="GA13" s="273">
        <f t="shared" si="62"/>
        <v>9797737.4813675843</v>
      </c>
      <c r="GB13" s="352">
        <f t="shared" si="63"/>
        <v>17.596796000000001</v>
      </c>
      <c r="GF13" s="727">
        <f t="shared" si="85"/>
        <v>10</v>
      </c>
      <c r="GG13" s="728">
        <f t="shared" si="64"/>
        <v>10</v>
      </c>
      <c r="GH13" s="12" t="s">
        <v>413</v>
      </c>
      <c r="GI13" s="269">
        <f t="shared" si="86"/>
        <v>4.7286590000000004</v>
      </c>
      <c r="GJ13" s="269">
        <f t="shared" si="65"/>
        <v>1.3826769999999999</v>
      </c>
      <c r="GK13" s="269">
        <f t="shared" si="66"/>
        <v>5.0323469999999997</v>
      </c>
      <c r="GL13" s="269">
        <f t="shared" si="67"/>
        <v>1.0567219999999999</v>
      </c>
      <c r="GM13" s="269">
        <f t="shared" si="68"/>
        <v>0.99808300000000005</v>
      </c>
      <c r="GN13" s="269">
        <f t="shared" si="69"/>
        <v>1.507207</v>
      </c>
      <c r="GO13" s="269">
        <f t="shared" si="70"/>
        <v>2.8911009999999999</v>
      </c>
      <c r="GP13" s="269">
        <f t="shared" si="71"/>
        <v>17.596796000000001</v>
      </c>
      <c r="GQ13" s="399">
        <v>55679098</v>
      </c>
      <c r="GR13" s="708"/>
      <c r="GU13" s="264">
        <f t="shared" si="87"/>
        <v>10</v>
      </c>
      <c r="GV13" s="728">
        <f t="shared" si="72"/>
        <v>10</v>
      </c>
      <c r="GW13" s="12" t="s">
        <v>413</v>
      </c>
      <c r="GX13" s="248" t="s">
        <v>385</v>
      </c>
      <c r="GY13" s="273">
        <f t="shared" si="73"/>
        <v>9797737.4813675843</v>
      </c>
      <c r="GZ13" s="399">
        <f t="shared" si="74"/>
        <v>55679098</v>
      </c>
      <c r="HA13" s="352">
        <f t="shared" si="88"/>
        <v>17.596796000000001</v>
      </c>
      <c r="HB13" s="273">
        <f t="shared" si="75"/>
        <v>9797737.2897000797</v>
      </c>
      <c r="HC13" s="742">
        <f t="shared" si="76"/>
        <v>-0.19166750460863113</v>
      </c>
      <c r="HD13" s="743"/>
      <c r="HG13" s="743"/>
      <c r="HH13" s="743"/>
      <c r="HI13" s="743"/>
      <c r="HJ13" s="743"/>
      <c r="HK13" s="743"/>
      <c r="HL13" s="743"/>
      <c r="HM13" s="743"/>
      <c r="HP13" s="727">
        <f t="shared" si="113"/>
        <v>10</v>
      </c>
      <c r="HQ13" s="746">
        <f t="shared" si="77"/>
        <v>10</v>
      </c>
      <c r="HR13" s="12" t="s">
        <v>413</v>
      </c>
      <c r="HS13" s="399">
        <v>55679098</v>
      </c>
      <c r="HT13" s="747">
        <f t="shared" si="89"/>
        <v>17.596796000000001</v>
      </c>
      <c r="HU13" s="747">
        <v>18.41</v>
      </c>
      <c r="HV13" s="737">
        <f t="shared" si="90"/>
        <v>-4.4171863117870691E-2</v>
      </c>
      <c r="HW13" s="747">
        <f t="shared" si="91"/>
        <v>-0.81320399999999893</v>
      </c>
      <c r="HX13" s="739">
        <v>25</v>
      </c>
      <c r="IO13" s="727">
        <f t="shared" si="114"/>
        <v>10</v>
      </c>
      <c r="IP13" s="746">
        <v>10</v>
      </c>
      <c r="IQ13" s="12" t="s">
        <v>413</v>
      </c>
      <c r="IR13" s="753">
        <f t="shared" si="92"/>
        <v>9797737.4813675843</v>
      </c>
      <c r="IS13" s="754">
        <f t="shared" si="92"/>
        <v>55679098</v>
      </c>
      <c r="IT13" s="755">
        <f t="shared" si="92"/>
        <v>17.596796000000001</v>
      </c>
      <c r="IU13" s="399">
        <f t="shared" si="93"/>
        <v>7984870.0745143406</v>
      </c>
      <c r="IV13" s="399">
        <f t="shared" si="94"/>
        <v>47694227.925485656</v>
      </c>
      <c r="IW13" s="753">
        <f t="shared" si="95"/>
        <v>119773.05111771511</v>
      </c>
      <c r="IX13" s="753">
        <f t="shared" si="96"/>
        <v>9677964.4302498698</v>
      </c>
      <c r="IY13" s="633">
        <f t="shared" si="97"/>
        <v>17.381683213061155</v>
      </c>
      <c r="IZ13" s="633">
        <f t="shared" si="98"/>
        <v>18.881683213061155</v>
      </c>
      <c r="JA13" s="753">
        <f t="shared" si="99"/>
        <v>9797737.4813675825</v>
      </c>
      <c r="JB13" s="352">
        <f t="shared" si="100"/>
        <v>0.21511278693884606</v>
      </c>
      <c r="JF13" s="727">
        <f t="shared" si="115"/>
        <v>10</v>
      </c>
      <c r="JG13" s="746">
        <f t="shared" si="78"/>
        <v>10</v>
      </c>
      <c r="JH13" s="12" t="s">
        <v>413</v>
      </c>
      <c r="JI13" s="399">
        <v>55679098</v>
      </c>
      <c r="JJ13" s="747">
        <f t="shared" si="101"/>
        <v>17.381683213061155</v>
      </c>
      <c r="JK13" s="747">
        <v>18.190999999999999</v>
      </c>
      <c r="JL13" s="737">
        <f t="shared" si="117"/>
        <v>-4.448995585393023E-2</v>
      </c>
      <c r="JM13" s="747">
        <f t="shared" si="102"/>
        <v>-0.80931678693884379</v>
      </c>
      <c r="JN13" s="739">
        <v>25</v>
      </c>
    </row>
    <row r="14" spans="1:277" x14ac:dyDescent="0.3">
      <c r="C14" s="275"/>
      <c r="I14" s="264">
        <f t="shared" si="103"/>
        <v>11</v>
      </c>
      <c r="J14" s="726">
        <f t="shared" si="1"/>
        <v>11</v>
      </c>
      <c r="K14" s="12" t="s">
        <v>414</v>
      </c>
      <c r="L14" s="399">
        <v>25541426</v>
      </c>
      <c r="M14" s="271">
        <f t="shared" si="2"/>
        <v>1.1420549491738602E-2</v>
      </c>
      <c r="N14" s="399">
        <v>1597.2</v>
      </c>
      <c r="O14" s="399">
        <f t="shared" si="79"/>
        <v>15991.376158276984</v>
      </c>
      <c r="P14" s="271">
        <f t="shared" si="3"/>
        <v>8.6767554372293061E-3</v>
      </c>
      <c r="Q14" s="248" t="s">
        <v>389</v>
      </c>
      <c r="U14" s="727">
        <f t="shared" si="104"/>
        <v>11</v>
      </c>
      <c r="V14" s="728">
        <f t="shared" si="4"/>
        <v>11</v>
      </c>
      <c r="W14" s="12" t="s">
        <v>414</v>
      </c>
      <c r="X14" s="273">
        <f t="shared" si="80"/>
        <v>1822950.8286273093</v>
      </c>
      <c r="Y14" s="271">
        <f t="shared" si="5"/>
        <v>1.7599767374777416E-2</v>
      </c>
      <c r="AC14" s="727">
        <f t="shared" si="105"/>
        <v>11</v>
      </c>
      <c r="AD14" s="68">
        <v>11</v>
      </c>
      <c r="AE14" s="275" t="s">
        <v>414</v>
      </c>
      <c r="AF14" s="301">
        <v>7.4</v>
      </c>
      <c r="AP14" s="727">
        <f t="shared" si="81"/>
        <v>11</v>
      </c>
      <c r="AQ14" s="733">
        <f t="shared" si="6"/>
        <v>11</v>
      </c>
      <c r="AR14" s="12" t="s">
        <v>414</v>
      </c>
      <c r="AS14" s="12">
        <f t="shared" si="7"/>
        <v>7.4</v>
      </c>
      <c r="AT14" s="734">
        <v>25541426</v>
      </c>
      <c r="AU14" s="734">
        <f t="shared" si="106"/>
        <v>52501.820111111112</v>
      </c>
      <c r="AV14" s="735">
        <f t="shared" si="8"/>
        <v>51726.2521570639</v>
      </c>
      <c r="AW14" s="736">
        <f t="shared" si="9"/>
        <v>21.544156020912027</v>
      </c>
      <c r="AX14" s="273">
        <f t="shared" si="116"/>
        <v>1114398.4468488218</v>
      </c>
      <c r="AY14" s="271">
        <f t="shared" si="10"/>
        <v>2.4624552091112199E-2</v>
      </c>
      <c r="AZ14" s="269">
        <f t="shared" si="11"/>
        <v>4.3631019999999996</v>
      </c>
      <c r="BK14" s="264">
        <f t="shared" si="107"/>
        <v>11</v>
      </c>
      <c r="BL14" s="248">
        <f t="shared" si="12"/>
        <v>11</v>
      </c>
      <c r="BM14" s="12" t="s">
        <v>414</v>
      </c>
      <c r="BN14" s="271">
        <f t="shared" si="13"/>
        <v>2.4624552091112199E-2</v>
      </c>
      <c r="BO14" s="273">
        <f t="shared" si="14"/>
        <v>228199.89634449547</v>
      </c>
      <c r="BP14" s="271">
        <f t="shared" si="15"/>
        <v>1.1420549491738602E-2</v>
      </c>
      <c r="BQ14" s="273">
        <f t="shared" si="16"/>
        <v>105836.16711357687</v>
      </c>
      <c r="BR14" s="464">
        <f t="shared" si="17"/>
        <v>334036.06345807237</v>
      </c>
      <c r="BS14" s="269">
        <f t="shared" si="18"/>
        <v>1.3078209999999999</v>
      </c>
      <c r="BV14" s="15"/>
      <c r="BW14" s="205"/>
      <c r="BX14" s="205"/>
      <c r="BY14" s="205"/>
      <c r="BZ14" s="205"/>
      <c r="CA14" s="205"/>
      <c r="CB14" s="205"/>
      <c r="CC14" s="205"/>
      <c r="CD14" s="205"/>
      <c r="CH14" s="264">
        <f t="shared" si="108"/>
        <v>11</v>
      </c>
      <c r="CI14" s="68">
        <f t="shared" si="20"/>
        <v>11</v>
      </c>
      <c r="CJ14" s="12" t="s">
        <v>414</v>
      </c>
      <c r="CK14" s="271">
        <f t="shared" si="21"/>
        <v>1.1420549491738602E-2</v>
      </c>
      <c r="CL14" s="273">
        <f t="shared" si="22"/>
        <v>71682.785744879948</v>
      </c>
      <c r="CM14" s="271">
        <f t="shared" si="23"/>
        <v>8.6767554372293061E-3</v>
      </c>
      <c r="CN14" s="273">
        <f t="shared" si="24"/>
        <v>181606.83706965297</v>
      </c>
      <c r="CO14" s="273">
        <f t="shared" si="25"/>
        <v>253289.62281453292</v>
      </c>
      <c r="CP14" s="271">
        <f t="shared" si="26"/>
        <v>9.3097500422809482E-3</v>
      </c>
      <c r="CQ14" s="269">
        <f t="shared" si="27"/>
        <v>0.99168199999999995</v>
      </c>
      <c r="DD14" s="15"/>
      <c r="DG14" s="727">
        <f t="shared" si="109"/>
        <v>11</v>
      </c>
      <c r="DH14" s="740">
        <f t="shared" si="29"/>
        <v>11</v>
      </c>
      <c r="DI14" s="12" t="s">
        <v>414</v>
      </c>
      <c r="DJ14" s="271">
        <f t="shared" si="30"/>
        <v>9.3097500422809482E-3</v>
      </c>
      <c r="DK14" s="273">
        <f t="shared" si="31"/>
        <v>2928.2639236201076</v>
      </c>
      <c r="DL14" s="271">
        <f t="shared" si="32"/>
        <v>8.6767554372293061E-3</v>
      </c>
      <c r="DM14" s="273">
        <f t="shared" si="33"/>
        <v>30775.06601522482</v>
      </c>
      <c r="DN14" s="271">
        <f t="shared" si="34"/>
        <v>1.1420549491738602E-2</v>
      </c>
      <c r="DO14" s="273">
        <f t="shared" si="35"/>
        <v>49377.226938162494</v>
      </c>
      <c r="DP14" s="273">
        <f t="shared" si="82"/>
        <v>83080.556877007417</v>
      </c>
      <c r="DQ14" s="271">
        <f t="shared" si="36"/>
        <v>1.015044240759129E-2</v>
      </c>
      <c r="DR14" s="269">
        <f t="shared" si="37"/>
        <v>0.32527800000000001</v>
      </c>
      <c r="DV14" s="727">
        <f t="shared" si="110"/>
        <v>11</v>
      </c>
      <c r="DW14" s="740">
        <f t="shared" si="38"/>
        <v>11</v>
      </c>
      <c r="DX14" s="12" t="s">
        <v>414</v>
      </c>
      <c r="DY14" s="271">
        <f t="shared" si="39"/>
        <v>8.6767554372293061E-3</v>
      </c>
      <c r="DZ14" s="273">
        <f t="shared" si="40"/>
        <v>38146.138628874767</v>
      </c>
      <c r="EA14" s="269">
        <f t="shared" si="41"/>
        <v>0.14935000000000001</v>
      </c>
      <c r="EM14" s="727">
        <f t="shared" si="111"/>
        <v>11</v>
      </c>
      <c r="EN14" s="740">
        <f t="shared" si="42"/>
        <v>11</v>
      </c>
      <c r="EO14" s="12" t="s">
        <v>414</v>
      </c>
      <c r="EP14" s="271">
        <f t="shared" si="43"/>
        <v>1.7599767374777416E-2</v>
      </c>
      <c r="EQ14" s="273">
        <f t="shared" si="44"/>
        <v>146437.59722095504</v>
      </c>
      <c r="ER14" s="271">
        <f t="shared" si="45"/>
        <v>9.3097500422809482E-3</v>
      </c>
      <c r="ES14" s="273">
        <f t="shared" si="46"/>
        <v>10169.462041321573</v>
      </c>
      <c r="ET14" s="271">
        <f t="shared" si="47"/>
        <v>1.1420549491738602E-2</v>
      </c>
      <c r="EU14" s="273">
        <f t="shared" si="48"/>
        <v>62557.558359019415</v>
      </c>
      <c r="EV14" s="273">
        <f t="shared" si="49"/>
        <v>219164.61762129603</v>
      </c>
      <c r="EW14" s="271">
        <f t="shared" si="50"/>
        <v>1.4718513317401975E-2</v>
      </c>
      <c r="EX14" s="269">
        <f t="shared" si="51"/>
        <v>0.85807500000000003</v>
      </c>
      <c r="FH14" s="727">
        <f t="shared" si="112"/>
        <v>11</v>
      </c>
      <c r="FI14" s="728">
        <f t="shared" si="52"/>
        <v>11</v>
      </c>
      <c r="FJ14" s="12" t="s">
        <v>414</v>
      </c>
      <c r="FK14" s="271">
        <f t="shared" si="53"/>
        <v>1.7599767374777416E-2</v>
      </c>
      <c r="FL14" s="273">
        <f t="shared" si="54"/>
        <v>399313.50492860563</v>
      </c>
      <c r="FM14" s="269">
        <f t="shared" si="55"/>
        <v>1.563396</v>
      </c>
      <c r="FQ14" s="264">
        <f t="shared" si="83"/>
        <v>11</v>
      </c>
      <c r="FR14" s="728">
        <v>11</v>
      </c>
      <c r="FS14" s="12" t="s">
        <v>414</v>
      </c>
      <c r="FT14" s="273">
        <f t="shared" si="84"/>
        <v>1114398.4468488218</v>
      </c>
      <c r="FU14" s="273">
        <f t="shared" si="56"/>
        <v>334036.06345807237</v>
      </c>
      <c r="FV14" s="273">
        <f t="shared" si="57"/>
        <v>253289.62281453292</v>
      </c>
      <c r="FW14" s="273">
        <f t="shared" si="58"/>
        <v>83080.556877007417</v>
      </c>
      <c r="FX14" s="273">
        <f t="shared" si="59"/>
        <v>38146.138628874767</v>
      </c>
      <c r="FY14" s="273">
        <f t="shared" si="60"/>
        <v>219164.61762129603</v>
      </c>
      <c r="FZ14" s="273">
        <f t="shared" si="61"/>
        <v>399313.50492860563</v>
      </c>
      <c r="GA14" s="273">
        <f t="shared" si="62"/>
        <v>2441428.951177211</v>
      </c>
      <c r="GB14" s="352">
        <f t="shared" si="63"/>
        <v>9.5587029999999995</v>
      </c>
      <c r="GF14" s="727">
        <f t="shared" si="85"/>
        <v>11</v>
      </c>
      <c r="GG14" s="728">
        <f t="shared" si="64"/>
        <v>11</v>
      </c>
      <c r="GH14" s="12" t="s">
        <v>414</v>
      </c>
      <c r="GI14" s="269">
        <f t="shared" si="86"/>
        <v>4.3631019999999996</v>
      </c>
      <c r="GJ14" s="269">
        <f t="shared" si="65"/>
        <v>1.3078209999999999</v>
      </c>
      <c r="GK14" s="269">
        <f t="shared" si="66"/>
        <v>0.99168199999999995</v>
      </c>
      <c r="GL14" s="269">
        <f t="shared" si="67"/>
        <v>0.32527800000000001</v>
      </c>
      <c r="GM14" s="269">
        <f t="shared" si="68"/>
        <v>0.14935000000000001</v>
      </c>
      <c r="GN14" s="269">
        <f t="shared" si="69"/>
        <v>0.85807500000000003</v>
      </c>
      <c r="GO14" s="269">
        <f t="shared" si="70"/>
        <v>1.563396</v>
      </c>
      <c r="GP14" s="269">
        <f t="shared" si="71"/>
        <v>9.5587029999999995</v>
      </c>
      <c r="GQ14" s="399">
        <v>25541426</v>
      </c>
      <c r="GR14" s="708"/>
      <c r="GU14" s="264">
        <f t="shared" si="87"/>
        <v>11</v>
      </c>
      <c r="GV14" s="728">
        <f t="shared" si="72"/>
        <v>11</v>
      </c>
      <c r="GW14" s="12" t="s">
        <v>414</v>
      </c>
      <c r="GX14" s="248" t="s">
        <v>389</v>
      </c>
      <c r="GY14" s="273">
        <f t="shared" si="73"/>
        <v>2441428.951177211</v>
      </c>
      <c r="GZ14" s="399">
        <f t="shared" si="74"/>
        <v>25541426</v>
      </c>
      <c r="HA14" s="352">
        <f t="shared" si="88"/>
        <v>9.5587029999999995</v>
      </c>
      <c r="HB14" s="273">
        <f t="shared" si="75"/>
        <v>2441429.0533047798</v>
      </c>
      <c r="HC14" s="742">
        <f t="shared" si="76"/>
        <v>0.10212756879627705</v>
      </c>
      <c r="HD14" s="743"/>
      <c r="HG14" s="743"/>
      <c r="HH14" s="743"/>
      <c r="HI14" s="743"/>
      <c r="HJ14" s="743"/>
      <c r="HK14" s="743"/>
      <c r="HL14" s="743"/>
      <c r="HM14" s="743"/>
      <c r="HP14" s="727">
        <f t="shared" si="113"/>
        <v>11</v>
      </c>
      <c r="HQ14" s="746">
        <f t="shared" si="77"/>
        <v>11</v>
      </c>
      <c r="HR14" s="12" t="s">
        <v>414</v>
      </c>
      <c r="HS14" s="399">
        <v>25541426</v>
      </c>
      <c r="HT14" s="747">
        <f t="shared" si="89"/>
        <v>9.5587029999999995</v>
      </c>
      <c r="HU14" s="747">
        <v>7.4249999999999998</v>
      </c>
      <c r="HV14" s="737">
        <f t="shared" si="90"/>
        <v>0.28736740740740729</v>
      </c>
      <c r="HW14" s="747">
        <f t="shared" si="91"/>
        <v>2.1337029999999997</v>
      </c>
      <c r="HX14" s="739">
        <v>10</v>
      </c>
      <c r="IO14" s="727">
        <f t="shared" si="114"/>
        <v>11</v>
      </c>
      <c r="IP14" s="746">
        <v>11</v>
      </c>
      <c r="IQ14" s="12" t="s">
        <v>414</v>
      </c>
      <c r="IR14" s="753">
        <f t="shared" si="92"/>
        <v>2441428.951177211</v>
      </c>
      <c r="IS14" s="754">
        <f t="shared" si="92"/>
        <v>25541426</v>
      </c>
      <c r="IT14" s="755">
        <f t="shared" si="92"/>
        <v>9.5587029999999995</v>
      </c>
      <c r="IU14" s="399">
        <v>0</v>
      </c>
      <c r="IV14" s="399">
        <f t="shared" si="94"/>
        <v>25541426</v>
      </c>
      <c r="IW14" s="753">
        <f t="shared" si="95"/>
        <v>0</v>
      </c>
      <c r="IX14" s="753">
        <f t="shared" si="96"/>
        <v>2441428.951177211</v>
      </c>
      <c r="IY14" s="633">
        <f t="shared" si="97"/>
        <v>9.5587026001493065</v>
      </c>
      <c r="IZ14" s="633">
        <f>IY14</f>
        <v>9.5587026001493065</v>
      </c>
      <c r="JA14" s="753">
        <f t="shared" si="99"/>
        <v>2441428.951177211</v>
      </c>
      <c r="JB14" s="352">
        <f t="shared" si="100"/>
        <v>3.9985069300030318E-7</v>
      </c>
      <c r="JF14" s="727">
        <f t="shared" si="115"/>
        <v>11</v>
      </c>
      <c r="JG14" s="746">
        <f t="shared" si="78"/>
        <v>11</v>
      </c>
      <c r="JH14" s="12" t="s">
        <v>414</v>
      </c>
      <c r="JI14" s="399">
        <v>25541426</v>
      </c>
      <c r="JJ14" s="747">
        <f t="shared" si="101"/>
        <v>9.5587026001493065</v>
      </c>
      <c r="JK14" s="747">
        <v>7.4249999999999998</v>
      </c>
      <c r="JL14" s="737">
        <f t="shared" si="117"/>
        <v>0.28736735355546217</v>
      </c>
      <c r="JM14" s="747">
        <f t="shared" si="102"/>
        <v>2.1337026001493067</v>
      </c>
      <c r="JN14" s="739">
        <v>10</v>
      </c>
    </row>
    <row r="15" spans="1:277" x14ac:dyDescent="0.3">
      <c r="I15" s="264">
        <f t="shared" si="103"/>
        <v>12</v>
      </c>
      <c r="J15" s="726">
        <f t="shared" si="1"/>
        <v>12</v>
      </c>
      <c r="K15" s="12" t="s">
        <v>415</v>
      </c>
      <c r="L15" s="399">
        <v>1682</v>
      </c>
      <c r="M15" s="271">
        <f t="shared" si="2"/>
        <v>7.5208660021974995E-7</v>
      </c>
      <c r="N15" s="399">
        <v>19</v>
      </c>
      <c r="O15" s="399">
        <f t="shared" si="79"/>
        <v>88.526315789473685</v>
      </c>
      <c r="P15" s="271">
        <f t="shared" si="3"/>
        <v>4.8033464053474981E-5</v>
      </c>
      <c r="Q15" s="248" t="s">
        <v>385</v>
      </c>
      <c r="U15" s="727">
        <f t="shared" si="104"/>
        <v>12</v>
      </c>
      <c r="V15" s="728">
        <f t="shared" si="4"/>
        <v>12</v>
      </c>
      <c r="W15" s="12" t="s">
        <v>415</v>
      </c>
      <c r="X15" s="273">
        <f t="shared" si="80"/>
        <v>2307.7005462865054</v>
      </c>
      <c r="Y15" s="271">
        <f t="shared" si="5"/>
        <v>2.2279807083920384E-5</v>
      </c>
      <c r="AC15" s="727">
        <f t="shared" si="105"/>
        <v>12</v>
      </c>
      <c r="AD15" s="68">
        <v>12</v>
      </c>
      <c r="AE15" s="275" t="s">
        <v>415</v>
      </c>
      <c r="AF15" s="301">
        <v>74.84</v>
      </c>
      <c r="AP15" s="727">
        <f t="shared" si="81"/>
        <v>12</v>
      </c>
      <c r="AQ15" s="733">
        <f t="shared" si="6"/>
        <v>12</v>
      </c>
      <c r="AR15" s="12" t="s">
        <v>415</v>
      </c>
      <c r="AS15" s="12">
        <f t="shared" si="7"/>
        <v>74.84</v>
      </c>
      <c r="AT15" s="734">
        <v>1682</v>
      </c>
      <c r="AU15" s="734">
        <f t="shared" si="106"/>
        <v>34.966911111111109</v>
      </c>
      <c r="AV15" s="735">
        <f t="shared" si="8"/>
        <v>34.450372529164774</v>
      </c>
      <c r="AW15" s="736">
        <f t="shared" si="9"/>
        <v>21.544156020912027</v>
      </c>
      <c r="AX15" s="273">
        <f t="shared" si="116"/>
        <v>742.20420074686751</v>
      </c>
      <c r="AY15" s="271">
        <f t="shared" si="10"/>
        <v>1.6400279500760019E-5</v>
      </c>
      <c r="AZ15" s="269">
        <f t="shared" si="11"/>
        <v>44.126289999999997</v>
      </c>
      <c r="BK15" s="264">
        <f t="shared" si="107"/>
        <v>12</v>
      </c>
      <c r="BL15" s="248">
        <f t="shared" si="12"/>
        <v>12</v>
      </c>
      <c r="BM15" s="12" t="s">
        <v>415</v>
      </c>
      <c r="BN15" s="271">
        <f t="shared" si="13"/>
        <v>1.6400279500760019E-5</v>
      </c>
      <c r="BO15" s="273">
        <f t="shared" si="14"/>
        <v>151.98416881844506</v>
      </c>
      <c r="BP15" s="271">
        <f t="shared" si="15"/>
        <v>7.5208660021974995E-7</v>
      </c>
      <c r="BQ15" s="273">
        <f t="shared" si="16"/>
        <v>6.9697139496062706</v>
      </c>
      <c r="BR15" s="464">
        <f t="shared" si="17"/>
        <v>158.95388276805133</v>
      </c>
      <c r="BS15" s="269">
        <f t="shared" si="18"/>
        <v>9.4502900000000007</v>
      </c>
      <c r="BV15" s="15"/>
      <c r="BW15" s="205"/>
      <c r="BX15" s="205"/>
      <c r="BY15" s="205"/>
      <c r="BZ15" s="205"/>
      <c r="CA15" s="205"/>
      <c r="CB15" s="205"/>
      <c r="CC15" s="205"/>
      <c r="CD15" s="205"/>
      <c r="CH15" s="264">
        <f t="shared" si="108"/>
        <v>12</v>
      </c>
      <c r="CI15" s="68">
        <f t="shared" si="20"/>
        <v>12</v>
      </c>
      <c r="CJ15" s="12" t="s">
        <v>415</v>
      </c>
      <c r="CK15" s="271">
        <f t="shared" si="21"/>
        <v>7.5208660021974995E-7</v>
      </c>
      <c r="CL15" s="273">
        <f t="shared" si="22"/>
        <v>4.7205839494978887</v>
      </c>
      <c r="CM15" s="271">
        <f t="shared" si="23"/>
        <v>4.8033464053474981E-5</v>
      </c>
      <c r="CN15" s="273">
        <f t="shared" si="24"/>
        <v>1005.3533885283725</v>
      </c>
      <c r="CO15" s="273">
        <f t="shared" si="25"/>
        <v>1010.0739724778704</v>
      </c>
      <c r="CP15" s="271">
        <f t="shared" si="26"/>
        <v>3.7125627585889379E-5</v>
      </c>
      <c r="CQ15" s="269">
        <f t="shared" si="27"/>
        <v>60.051960000000001</v>
      </c>
      <c r="DD15" s="15"/>
      <c r="DG15" s="727">
        <f t="shared" si="109"/>
        <v>12</v>
      </c>
      <c r="DH15" s="740">
        <f t="shared" si="29"/>
        <v>12</v>
      </c>
      <c r="DI15" s="12" t="s">
        <v>415</v>
      </c>
      <c r="DJ15" s="271">
        <f t="shared" si="30"/>
        <v>3.7125627585889379E-5</v>
      </c>
      <c r="DK15" s="273">
        <f t="shared" si="31"/>
        <v>11.677395784826011</v>
      </c>
      <c r="DL15" s="271">
        <f t="shared" si="32"/>
        <v>4.8033464053474981E-5</v>
      </c>
      <c r="DM15" s="273">
        <f t="shared" si="33"/>
        <v>170.36702692379399</v>
      </c>
      <c r="DN15" s="271">
        <f t="shared" si="34"/>
        <v>7.5208660021974995E-7</v>
      </c>
      <c r="DO15" s="273">
        <f t="shared" si="35"/>
        <v>3.2516781055994799</v>
      </c>
      <c r="DP15" s="273">
        <f t="shared" si="82"/>
        <v>185.29610081421947</v>
      </c>
      <c r="DQ15" s="271">
        <f t="shared" si="36"/>
        <v>2.2638719218629679E-5</v>
      </c>
      <c r="DR15" s="269">
        <f t="shared" si="37"/>
        <v>11.016415</v>
      </c>
      <c r="DV15" s="727">
        <f t="shared" si="110"/>
        <v>12</v>
      </c>
      <c r="DW15" s="740">
        <f t="shared" si="38"/>
        <v>12</v>
      </c>
      <c r="DX15" s="12" t="s">
        <v>415</v>
      </c>
      <c r="DY15" s="271">
        <f t="shared" si="39"/>
        <v>4.8033464053474981E-5</v>
      </c>
      <c r="DZ15" s="273">
        <f t="shared" si="40"/>
        <v>211.17238947949693</v>
      </c>
      <c r="EA15" s="269">
        <f t="shared" si="41"/>
        <v>12.554838999999999</v>
      </c>
      <c r="EM15" s="727">
        <f t="shared" si="111"/>
        <v>12</v>
      </c>
      <c r="EN15" s="740">
        <f t="shared" si="42"/>
        <v>12</v>
      </c>
      <c r="EO15" s="12" t="s">
        <v>415</v>
      </c>
      <c r="EP15" s="271">
        <f t="shared" si="43"/>
        <v>2.2279807083920384E-5</v>
      </c>
      <c r="EQ15" s="273">
        <f t="shared" si="44"/>
        <v>185.37753064801379</v>
      </c>
      <c r="ER15" s="271">
        <f t="shared" si="45"/>
        <v>3.7125627585889379E-5</v>
      </c>
      <c r="ES15" s="273">
        <f t="shared" si="46"/>
        <v>40.554006152719602</v>
      </c>
      <c r="ET15" s="271">
        <f t="shared" si="47"/>
        <v>7.5208660021974995E-7</v>
      </c>
      <c r="EU15" s="273">
        <f t="shared" si="48"/>
        <v>4.1196530358121217</v>
      </c>
      <c r="EV15" s="273">
        <f t="shared" si="49"/>
        <v>230.05118983654552</v>
      </c>
      <c r="EW15" s="271">
        <f t="shared" si="50"/>
        <v>1.5449626577699692E-5</v>
      </c>
      <c r="EX15" s="269">
        <f t="shared" si="51"/>
        <v>13.677241</v>
      </c>
      <c r="FH15" s="727">
        <f t="shared" si="112"/>
        <v>12</v>
      </c>
      <c r="FI15" s="728">
        <f t="shared" si="52"/>
        <v>12</v>
      </c>
      <c r="FJ15" s="12" t="s">
        <v>415</v>
      </c>
      <c r="FK15" s="271">
        <f t="shared" si="53"/>
        <v>2.2279807083920384E-5</v>
      </c>
      <c r="FL15" s="273">
        <f t="shared" si="54"/>
        <v>505.49690040581805</v>
      </c>
      <c r="FM15" s="269">
        <f t="shared" si="55"/>
        <v>30.053322999999999</v>
      </c>
      <c r="FQ15" s="264">
        <f t="shared" si="83"/>
        <v>12</v>
      </c>
      <c r="FR15" s="728">
        <v>12</v>
      </c>
      <c r="FS15" s="12" t="s">
        <v>415</v>
      </c>
      <c r="FT15" s="273">
        <f t="shared" si="84"/>
        <v>742.20420074686751</v>
      </c>
      <c r="FU15" s="273">
        <f t="shared" si="56"/>
        <v>158.95388276805133</v>
      </c>
      <c r="FV15" s="273">
        <f t="shared" si="57"/>
        <v>1010.0739724778704</v>
      </c>
      <c r="FW15" s="273">
        <f t="shared" si="58"/>
        <v>185.29610081421947</v>
      </c>
      <c r="FX15" s="273">
        <f t="shared" si="59"/>
        <v>211.17238947949693</v>
      </c>
      <c r="FY15" s="273">
        <f t="shared" si="60"/>
        <v>230.05118983654552</v>
      </c>
      <c r="FZ15" s="273">
        <f t="shared" si="61"/>
        <v>505.49690040581805</v>
      </c>
      <c r="GA15" s="273">
        <f t="shared" si="62"/>
        <v>3043.2486365288692</v>
      </c>
      <c r="GB15" s="352">
        <f t="shared" si="63"/>
        <v>180.93035900000001</v>
      </c>
      <c r="GF15" s="727">
        <f t="shared" si="85"/>
        <v>12</v>
      </c>
      <c r="GG15" s="728">
        <f t="shared" si="64"/>
        <v>12</v>
      </c>
      <c r="GH15" s="12" t="s">
        <v>415</v>
      </c>
      <c r="GI15" s="269">
        <f t="shared" si="86"/>
        <v>44.126289999999997</v>
      </c>
      <c r="GJ15" s="269">
        <f t="shared" si="65"/>
        <v>9.4502900000000007</v>
      </c>
      <c r="GK15" s="269">
        <f t="shared" si="66"/>
        <v>60.051960000000001</v>
      </c>
      <c r="GL15" s="269">
        <f t="shared" si="67"/>
        <v>11.016415</v>
      </c>
      <c r="GM15" s="269">
        <f t="shared" si="68"/>
        <v>12.554838999999999</v>
      </c>
      <c r="GN15" s="269">
        <f t="shared" si="69"/>
        <v>13.677241</v>
      </c>
      <c r="GO15" s="269">
        <f t="shared" si="70"/>
        <v>30.053322999999999</v>
      </c>
      <c r="GP15" s="269">
        <f t="shared" si="71"/>
        <v>180.93035900000001</v>
      </c>
      <c r="GQ15" s="399">
        <v>1682</v>
      </c>
      <c r="GR15" s="708"/>
      <c r="GU15" s="264">
        <f t="shared" si="87"/>
        <v>12</v>
      </c>
      <c r="GV15" s="728">
        <f t="shared" si="72"/>
        <v>12</v>
      </c>
      <c r="GW15" s="12" t="s">
        <v>415</v>
      </c>
      <c r="GX15" s="248" t="s">
        <v>385</v>
      </c>
      <c r="GY15" s="273">
        <f t="shared" si="73"/>
        <v>3043.2486365288692</v>
      </c>
      <c r="GZ15" s="399">
        <f t="shared" si="74"/>
        <v>1682</v>
      </c>
      <c r="HA15" s="352">
        <f t="shared" si="88"/>
        <v>180.93035900000001</v>
      </c>
      <c r="HB15" s="273">
        <f t="shared" si="75"/>
        <v>3043.2486383800001</v>
      </c>
      <c r="HC15" s="742">
        <f t="shared" si="76"/>
        <v>1.8511309463065118E-6</v>
      </c>
      <c r="HD15" s="743"/>
      <c r="HG15" s="743"/>
      <c r="HH15" s="743"/>
      <c r="HI15" s="743"/>
      <c r="HJ15" s="743"/>
      <c r="HK15" s="743"/>
      <c r="HL15" s="743"/>
      <c r="HM15" s="743"/>
      <c r="HP15" s="727">
        <f t="shared" si="113"/>
        <v>12</v>
      </c>
      <c r="HQ15" s="746">
        <f t="shared" si="77"/>
        <v>12</v>
      </c>
      <c r="HR15" s="12" t="s">
        <v>415</v>
      </c>
      <c r="HS15" s="399">
        <v>1682</v>
      </c>
      <c r="HT15" s="747">
        <f t="shared" si="89"/>
        <v>180.93035900000001</v>
      </c>
      <c r="HU15" s="747">
        <v>180.73400000000001</v>
      </c>
      <c r="HV15" s="737">
        <f t="shared" si="90"/>
        <v>1.0864530193543942E-3</v>
      </c>
      <c r="HW15" s="747">
        <f t="shared" si="91"/>
        <v>0.19635900000000106</v>
      </c>
      <c r="HX15" s="739">
        <v>10</v>
      </c>
      <c r="IO15" s="727">
        <f t="shared" si="114"/>
        <v>12</v>
      </c>
      <c r="IP15" s="746">
        <v>12</v>
      </c>
      <c r="IQ15" s="12" t="s">
        <v>415</v>
      </c>
      <c r="IR15" s="753">
        <f t="shared" si="92"/>
        <v>3043.2486365288692</v>
      </c>
      <c r="IS15" s="754">
        <f t="shared" si="92"/>
        <v>1682</v>
      </c>
      <c r="IT15" s="755">
        <f t="shared" si="92"/>
        <v>180.93035900000001</v>
      </c>
      <c r="IU15" s="399">
        <f t="shared" si="93"/>
        <v>241.21352442406882</v>
      </c>
      <c r="IV15" s="399">
        <f t="shared" si="94"/>
        <v>1440.7864755759313</v>
      </c>
      <c r="IW15" s="753">
        <f t="shared" si="95"/>
        <v>3.6182028663610324</v>
      </c>
      <c r="IX15" s="753">
        <f t="shared" si="96"/>
        <v>3039.630433662508</v>
      </c>
      <c r="IY15" s="633">
        <f t="shared" si="97"/>
        <v>180.71524575876981</v>
      </c>
      <c r="IZ15" s="633">
        <f>IY15+1.5</f>
        <v>182.21524575876981</v>
      </c>
      <c r="JA15" s="753">
        <f t="shared" si="99"/>
        <v>3043.2486365288696</v>
      </c>
      <c r="JB15" s="352">
        <f t="shared" si="100"/>
        <v>0.21511324123019904</v>
      </c>
      <c r="JF15" s="727">
        <f t="shared" si="115"/>
        <v>12</v>
      </c>
      <c r="JG15" s="746">
        <f t="shared" si="78"/>
        <v>12</v>
      </c>
      <c r="JH15" s="12" t="s">
        <v>415</v>
      </c>
      <c r="JI15" s="399">
        <v>1682</v>
      </c>
      <c r="JJ15" s="747">
        <f t="shared" si="101"/>
        <v>180.71524575876981</v>
      </c>
      <c r="JK15" s="747">
        <v>180.51499999999999</v>
      </c>
      <c r="JL15" s="737">
        <f t="shared" si="117"/>
        <v>1.1093025996167238E-3</v>
      </c>
      <c r="JM15" s="747">
        <f t="shared" si="102"/>
        <v>0.20024575876982453</v>
      </c>
      <c r="JN15" s="739">
        <v>10</v>
      </c>
    </row>
    <row r="16" spans="1:277" x14ac:dyDescent="0.3">
      <c r="E16" s="579"/>
      <c r="I16" s="264">
        <f t="shared" si="103"/>
        <v>13</v>
      </c>
      <c r="J16" s="726">
        <f t="shared" si="1"/>
        <v>13</v>
      </c>
      <c r="K16" s="12" t="s">
        <v>416</v>
      </c>
      <c r="L16" s="399">
        <v>2507920</v>
      </c>
      <c r="M16" s="271">
        <f t="shared" si="2"/>
        <v>1.1213870549483444E-3</v>
      </c>
      <c r="N16" s="399">
        <v>1213.2</v>
      </c>
      <c r="O16" s="399">
        <f t="shared" si="79"/>
        <v>2067.1941971645233</v>
      </c>
      <c r="P16" s="271">
        <f t="shared" si="3"/>
        <v>1.1216382075267717E-3</v>
      </c>
      <c r="Q16" s="248" t="s">
        <v>389</v>
      </c>
      <c r="U16" s="727">
        <f>+U15+1</f>
        <v>13</v>
      </c>
      <c r="V16" s="728">
        <f t="shared" si="4"/>
        <v>13</v>
      </c>
      <c r="W16" s="12" t="s">
        <v>416</v>
      </c>
      <c r="X16" s="273">
        <f t="shared" si="80"/>
        <v>180434.13011814406</v>
      </c>
      <c r="Y16" s="271">
        <f t="shared" si="5"/>
        <v>1.7420100787583484E-3</v>
      </c>
      <c r="AC16" s="727">
        <f t="shared" si="105"/>
        <v>13</v>
      </c>
      <c r="AD16" s="68">
        <v>13</v>
      </c>
      <c r="AE16" s="275" t="s">
        <v>416</v>
      </c>
      <c r="AF16" s="301">
        <v>7.04</v>
      </c>
      <c r="AP16" s="727">
        <f t="shared" si="81"/>
        <v>13</v>
      </c>
      <c r="AQ16" s="733">
        <f t="shared" si="6"/>
        <v>13</v>
      </c>
      <c r="AR16" s="12" t="s">
        <v>416</v>
      </c>
      <c r="AS16" s="12">
        <f t="shared" si="7"/>
        <v>7.04</v>
      </c>
      <c r="AT16" s="734">
        <v>2507920</v>
      </c>
      <c r="AU16" s="734">
        <f t="shared" si="106"/>
        <v>4904.376888888889</v>
      </c>
      <c r="AV16" s="735">
        <f t="shared" si="8"/>
        <v>4831.9283996452377</v>
      </c>
      <c r="AW16" s="736">
        <f t="shared" si="9"/>
        <v>21.544156020912027</v>
      </c>
      <c r="AX16" s="273">
        <f>AV16*AW16</f>
        <v>104099.81932383277</v>
      </c>
      <c r="AY16" s="271">
        <f t="shared" si="10"/>
        <v>2.3002647130957801E-3</v>
      </c>
      <c r="AZ16" s="269">
        <f t="shared" si="11"/>
        <v>4.1508430000000001</v>
      </c>
      <c r="BK16" s="264">
        <f t="shared" si="107"/>
        <v>13</v>
      </c>
      <c r="BL16" s="248">
        <f t="shared" si="12"/>
        <v>13</v>
      </c>
      <c r="BM16" s="12" t="s">
        <v>416</v>
      </c>
      <c r="BN16" s="271">
        <f t="shared" si="13"/>
        <v>2.3002647130957801E-3</v>
      </c>
      <c r="BO16" s="273">
        <f t="shared" si="14"/>
        <v>21316.942828081668</v>
      </c>
      <c r="BP16" s="271">
        <f t="shared" si="15"/>
        <v>1.1213870549483444E-3</v>
      </c>
      <c r="BQ16" s="273">
        <f t="shared" si="16"/>
        <v>10392.083833826729</v>
      </c>
      <c r="BR16" s="464">
        <f t="shared" si="17"/>
        <v>31709.0266619084</v>
      </c>
      <c r="BS16" s="269">
        <f t="shared" si="18"/>
        <v>1.264356</v>
      </c>
      <c r="BV16" s="15"/>
      <c r="BW16" s="205"/>
      <c r="BX16" s="205"/>
      <c r="BY16" s="205"/>
      <c r="BZ16" s="205"/>
      <c r="CA16" s="205"/>
      <c r="CB16" s="205"/>
      <c r="CC16" s="205"/>
      <c r="CD16" s="205"/>
      <c r="CH16" s="264">
        <f t="shared" si="108"/>
        <v>13</v>
      </c>
      <c r="CI16" s="68">
        <f t="shared" si="20"/>
        <v>13</v>
      </c>
      <c r="CJ16" s="12" t="s">
        <v>416</v>
      </c>
      <c r="CK16" s="271">
        <f t="shared" si="21"/>
        <v>1.1213870549483444E-3</v>
      </c>
      <c r="CL16" s="273">
        <f t="shared" si="22"/>
        <v>7038.5534474582319</v>
      </c>
      <c r="CM16" s="271">
        <f t="shared" si="23"/>
        <v>1.1216382075267717E-3</v>
      </c>
      <c r="CN16" s="273">
        <f t="shared" si="24"/>
        <v>23476.190919408626</v>
      </c>
      <c r="CO16" s="273">
        <f t="shared" si="25"/>
        <v>30514.744366866857</v>
      </c>
      <c r="CP16" s="271">
        <f t="shared" si="26"/>
        <v>1.1215802665064066E-3</v>
      </c>
      <c r="CQ16" s="269">
        <f t="shared" si="27"/>
        <v>1.2167349999999999</v>
      </c>
      <c r="DD16" s="15"/>
      <c r="DG16" s="727">
        <f t="shared" si="109"/>
        <v>13</v>
      </c>
      <c r="DH16" s="740">
        <f t="shared" si="29"/>
        <v>13</v>
      </c>
      <c r="DI16" s="12" t="s">
        <v>416</v>
      </c>
      <c r="DJ16" s="271">
        <f t="shared" si="30"/>
        <v>1.1215802665064066E-3</v>
      </c>
      <c r="DK16" s="273">
        <f t="shared" si="31"/>
        <v>352.77886269116908</v>
      </c>
      <c r="DL16" s="271">
        <f t="shared" si="32"/>
        <v>1.1216382075267717E-3</v>
      </c>
      <c r="DM16" s="273">
        <f t="shared" si="33"/>
        <v>3978.2716167988951</v>
      </c>
      <c r="DN16" s="271">
        <f t="shared" si="34"/>
        <v>1.1213870549483444E-3</v>
      </c>
      <c r="DO16" s="273">
        <f t="shared" si="35"/>
        <v>4848.3641822800528</v>
      </c>
      <c r="DP16" s="273">
        <f t="shared" si="82"/>
        <v>9179.4146617701172</v>
      </c>
      <c r="DQ16" s="271">
        <f t="shared" si="36"/>
        <v>1.1215033139177586E-3</v>
      </c>
      <c r="DR16" s="269">
        <f t="shared" si="37"/>
        <v>0.36601699999999998</v>
      </c>
      <c r="DV16" s="727">
        <f t="shared" si="110"/>
        <v>13</v>
      </c>
      <c r="DW16" s="740">
        <f t="shared" si="38"/>
        <v>13</v>
      </c>
      <c r="DX16" s="12" t="s">
        <v>416</v>
      </c>
      <c r="DY16" s="271">
        <f t="shared" si="39"/>
        <v>1.1216382075267717E-3</v>
      </c>
      <c r="DZ16" s="273">
        <f t="shared" si="40"/>
        <v>4931.1251037659158</v>
      </c>
      <c r="EA16" s="269">
        <f t="shared" si="41"/>
        <v>0.19662199999999999</v>
      </c>
      <c r="EM16" s="727">
        <f>+EM15+1</f>
        <v>13</v>
      </c>
      <c r="EN16" s="740">
        <f t="shared" si="42"/>
        <v>13</v>
      </c>
      <c r="EO16" s="12" t="s">
        <v>416</v>
      </c>
      <c r="EP16" s="271">
        <f t="shared" si="43"/>
        <v>1.7420100787583484E-3</v>
      </c>
      <c r="EQ16" s="273">
        <f t="shared" si="44"/>
        <v>14494.269431858633</v>
      </c>
      <c r="ER16" s="271">
        <f t="shared" si="45"/>
        <v>1.1215802665064066E-3</v>
      </c>
      <c r="ES16" s="273">
        <f t="shared" si="46"/>
        <v>1225.1529734666997</v>
      </c>
      <c r="ET16" s="271">
        <f t="shared" si="47"/>
        <v>1.1213870549483444E-3</v>
      </c>
      <c r="EU16" s="273">
        <f t="shared" si="48"/>
        <v>6142.5447333971078</v>
      </c>
      <c r="EV16" s="273">
        <f t="shared" si="49"/>
        <v>21861.967138722441</v>
      </c>
      <c r="EW16" s="271">
        <f t="shared" si="50"/>
        <v>1.4681916176446904E-3</v>
      </c>
      <c r="EX16" s="269">
        <f t="shared" si="51"/>
        <v>0.87171699999999996</v>
      </c>
      <c r="FH16" s="727">
        <f>+FH15+1</f>
        <v>13</v>
      </c>
      <c r="FI16" s="728">
        <f t="shared" si="52"/>
        <v>13</v>
      </c>
      <c r="FJ16" s="12" t="s">
        <v>416</v>
      </c>
      <c r="FK16" s="271">
        <f t="shared" si="53"/>
        <v>1.7420100787583484E-3</v>
      </c>
      <c r="FL16" s="273">
        <f t="shared" si="54"/>
        <v>39523.712749001592</v>
      </c>
      <c r="FM16" s="269">
        <f t="shared" si="55"/>
        <v>1.5759559999999999</v>
      </c>
      <c r="FQ16" s="264">
        <f t="shared" si="83"/>
        <v>13</v>
      </c>
      <c r="FR16" s="728">
        <v>13</v>
      </c>
      <c r="FS16" s="12" t="s">
        <v>416</v>
      </c>
      <c r="FT16" s="273">
        <f t="shared" si="84"/>
        <v>104099.81932383277</v>
      </c>
      <c r="FU16" s="273">
        <f t="shared" si="56"/>
        <v>31709.0266619084</v>
      </c>
      <c r="FV16" s="273">
        <f t="shared" si="57"/>
        <v>30514.744366866857</v>
      </c>
      <c r="FW16" s="273">
        <f t="shared" si="58"/>
        <v>9179.4146617701172</v>
      </c>
      <c r="FX16" s="273">
        <f t="shared" si="59"/>
        <v>4931.1251037659158</v>
      </c>
      <c r="FY16" s="273">
        <f t="shared" si="60"/>
        <v>21861.967138722441</v>
      </c>
      <c r="FZ16" s="273">
        <f t="shared" si="61"/>
        <v>39523.712749001592</v>
      </c>
      <c r="GA16" s="273">
        <f t="shared" si="62"/>
        <v>241819.81000586812</v>
      </c>
      <c r="GB16" s="352">
        <f t="shared" si="63"/>
        <v>9.6422460000000001</v>
      </c>
      <c r="GF16" s="727">
        <f t="shared" si="85"/>
        <v>13</v>
      </c>
      <c r="GG16" s="728">
        <f t="shared" si="64"/>
        <v>13</v>
      </c>
      <c r="GH16" s="12" t="s">
        <v>416</v>
      </c>
      <c r="GI16" s="269">
        <f t="shared" si="86"/>
        <v>4.1508430000000001</v>
      </c>
      <c r="GJ16" s="269">
        <f t="shared" si="65"/>
        <v>1.264356</v>
      </c>
      <c r="GK16" s="269">
        <f t="shared" si="66"/>
        <v>1.2167349999999999</v>
      </c>
      <c r="GL16" s="269">
        <f t="shared" si="67"/>
        <v>0.36601699999999998</v>
      </c>
      <c r="GM16" s="269">
        <f t="shared" si="68"/>
        <v>0.19662199999999999</v>
      </c>
      <c r="GN16" s="269">
        <f t="shared" si="69"/>
        <v>0.87171699999999996</v>
      </c>
      <c r="GO16" s="269">
        <f t="shared" si="70"/>
        <v>1.5759559999999999</v>
      </c>
      <c r="GP16" s="269">
        <f t="shared" si="71"/>
        <v>9.6422460000000001</v>
      </c>
      <c r="GQ16" s="399">
        <v>2507920</v>
      </c>
      <c r="GR16" s="708"/>
      <c r="GU16" s="264">
        <f t="shared" si="87"/>
        <v>13</v>
      </c>
      <c r="GV16" s="728">
        <f t="shared" si="72"/>
        <v>13</v>
      </c>
      <c r="GW16" s="12" t="s">
        <v>416</v>
      </c>
      <c r="GX16" s="248" t="s">
        <v>389</v>
      </c>
      <c r="GY16" s="273">
        <f t="shared" si="73"/>
        <v>241819.81000586812</v>
      </c>
      <c r="GZ16" s="399">
        <f t="shared" si="74"/>
        <v>2507920</v>
      </c>
      <c r="HA16" s="352">
        <f t="shared" si="88"/>
        <v>9.6422460000000001</v>
      </c>
      <c r="HB16" s="273">
        <f t="shared" si="75"/>
        <v>241819.81588320003</v>
      </c>
      <c r="HC16" s="742">
        <f t="shared" si="76"/>
        <v>5.8773319178726524E-3</v>
      </c>
      <c r="HD16" s="743"/>
      <c r="HG16" s="743"/>
      <c r="HH16" s="743"/>
      <c r="HI16" s="743"/>
      <c r="HJ16" s="743"/>
      <c r="HK16" s="743"/>
      <c r="HL16" s="743"/>
      <c r="HM16" s="743"/>
      <c r="HP16" s="727">
        <f t="shared" si="113"/>
        <v>13</v>
      </c>
      <c r="HQ16" s="746">
        <f t="shared" si="77"/>
        <v>13</v>
      </c>
      <c r="HR16" s="12" t="s">
        <v>416</v>
      </c>
      <c r="HS16" s="399">
        <v>2507920</v>
      </c>
      <c r="HT16" s="747">
        <f t="shared" si="89"/>
        <v>9.6422460000000001</v>
      </c>
      <c r="HU16" s="747">
        <v>8.1720000000000006</v>
      </c>
      <c r="HV16" s="737">
        <f t="shared" si="90"/>
        <v>0.17991262848751832</v>
      </c>
      <c r="HW16" s="747">
        <f t="shared" si="91"/>
        <v>1.4702459999999995</v>
      </c>
      <c r="HX16" s="739">
        <v>10</v>
      </c>
      <c r="IO16" s="727">
        <f t="shared" si="114"/>
        <v>13</v>
      </c>
      <c r="IP16" s="746">
        <v>13</v>
      </c>
      <c r="IQ16" s="12" t="s">
        <v>416</v>
      </c>
      <c r="IR16" s="753">
        <f t="shared" si="92"/>
        <v>241819.81000586812</v>
      </c>
      <c r="IS16" s="754">
        <f t="shared" si="92"/>
        <v>2507920</v>
      </c>
      <c r="IT16" s="755">
        <f t="shared" si="92"/>
        <v>9.6422460000000001</v>
      </c>
      <c r="IU16" s="399">
        <v>0</v>
      </c>
      <c r="IV16" s="399">
        <f t="shared" si="94"/>
        <v>2507920</v>
      </c>
      <c r="IW16" s="753">
        <f t="shared" si="95"/>
        <v>0</v>
      </c>
      <c r="IX16" s="753">
        <f t="shared" si="96"/>
        <v>241819.81000586812</v>
      </c>
      <c r="IY16" s="633">
        <f t="shared" si="97"/>
        <v>9.6422457656491467</v>
      </c>
      <c r="IZ16" s="633">
        <f>IY16</f>
        <v>9.6422457656491467</v>
      </c>
      <c r="JA16" s="753">
        <f t="shared" si="99"/>
        <v>241819.81000586809</v>
      </c>
      <c r="JB16" s="352">
        <f t="shared" si="100"/>
        <v>2.3435085338974204E-7</v>
      </c>
      <c r="JF16" s="727">
        <f t="shared" si="115"/>
        <v>13</v>
      </c>
      <c r="JG16" s="746">
        <f t="shared" si="78"/>
        <v>13</v>
      </c>
      <c r="JH16" s="12" t="s">
        <v>416</v>
      </c>
      <c r="JI16" s="399">
        <v>2507920</v>
      </c>
      <c r="JJ16" s="747">
        <f t="shared" si="101"/>
        <v>9.6422457656491467</v>
      </c>
      <c r="JK16" s="747">
        <v>8.1720000000000006</v>
      </c>
      <c r="JL16" s="737">
        <f t="shared" si="117"/>
        <v>0.17991259981022334</v>
      </c>
      <c r="JM16" s="747">
        <f t="shared" si="102"/>
        <v>1.4702457656491461</v>
      </c>
      <c r="JN16" s="739">
        <v>10</v>
      </c>
    </row>
    <row r="17" spans="2:275" x14ac:dyDescent="0.3">
      <c r="I17" s="264">
        <f t="shared" si="103"/>
        <v>14</v>
      </c>
      <c r="J17" s="726">
        <f t="shared" si="1"/>
        <v>14</v>
      </c>
      <c r="K17" s="12" t="s">
        <v>417</v>
      </c>
      <c r="L17" s="399">
        <v>349851</v>
      </c>
      <c r="M17" s="271">
        <f t="shared" si="2"/>
        <v>1.5643177715426857E-4</v>
      </c>
      <c r="N17" s="399">
        <v>554.4</v>
      </c>
      <c r="O17" s="399">
        <f>IFERROR(L17/N17,0)</f>
        <v>631.04437229437235</v>
      </c>
      <c r="P17" s="271">
        <f t="shared" si="3"/>
        <v>3.4239815474568306E-4</v>
      </c>
      <c r="Q17" s="248" t="s">
        <v>389</v>
      </c>
      <c r="U17" s="727">
        <f t="shared" si="104"/>
        <v>14</v>
      </c>
      <c r="V17" s="728">
        <f t="shared" si="4"/>
        <v>14</v>
      </c>
      <c r="W17" s="12" t="s">
        <v>417</v>
      </c>
      <c r="X17" s="273">
        <f t="shared" si="80"/>
        <v>24147.223509381969</v>
      </c>
      <c r="Y17" s="271">
        <f t="shared" si="5"/>
        <v>2.3313054298447269E-4</v>
      </c>
      <c r="AC17" s="727">
        <f>+AC16+1</f>
        <v>14</v>
      </c>
      <c r="AD17" s="68">
        <v>14</v>
      </c>
      <c r="AE17" s="275" t="s">
        <v>417</v>
      </c>
      <c r="AF17" s="301">
        <v>4.45</v>
      </c>
      <c r="AP17" s="727">
        <f t="shared" si="81"/>
        <v>14</v>
      </c>
      <c r="AQ17" s="733">
        <f t="shared" si="6"/>
        <v>14</v>
      </c>
      <c r="AR17" s="12" t="s">
        <v>417</v>
      </c>
      <c r="AS17" s="12">
        <f t="shared" si="7"/>
        <v>4.45</v>
      </c>
      <c r="AT17" s="734">
        <v>349851</v>
      </c>
      <c r="AU17" s="734">
        <f t="shared" si="106"/>
        <v>432.45470833333331</v>
      </c>
      <c r="AV17" s="735">
        <f t="shared" si="8"/>
        <v>426.06639622052745</v>
      </c>
      <c r="AW17" s="736">
        <f t="shared" si="9"/>
        <v>21.544156020912027</v>
      </c>
      <c r="AX17" s="273">
        <f t="shared" si="116"/>
        <v>9179.240915442766</v>
      </c>
      <c r="AY17" s="271">
        <f t="shared" si="10"/>
        <v>2.0283112985157673E-4</v>
      </c>
      <c r="AZ17" s="269">
        <f t="shared" si="11"/>
        <v>2.6237569999999999</v>
      </c>
      <c r="BK17" s="264">
        <f t="shared" si="107"/>
        <v>14</v>
      </c>
      <c r="BL17" s="248">
        <f t="shared" si="12"/>
        <v>14</v>
      </c>
      <c r="BM17" s="12" t="s">
        <v>417</v>
      </c>
      <c r="BN17" s="271">
        <f t="shared" si="13"/>
        <v>2.0283112985157673E-4</v>
      </c>
      <c r="BO17" s="273">
        <f t="shared" si="14"/>
        <v>1879.6704458341335</v>
      </c>
      <c r="BP17" s="271">
        <f t="shared" si="15"/>
        <v>1.5643177715426857E-4</v>
      </c>
      <c r="BQ17" s="273">
        <f t="shared" si="16"/>
        <v>1449.6797829867439</v>
      </c>
      <c r="BR17" s="464">
        <f t="shared" si="17"/>
        <v>3329.3502288208774</v>
      </c>
      <c r="BS17" s="269">
        <f t="shared" si="18"/>
        <v>0.95164800000000005</v>
      </c>
      <c r="BV17" s="15"/>
      <c r="BW17" s="205"/>
      <c r="BX17" s="205"/>
      <c r="BY17" s="205"/>
      <c r="BZ17" s="205"/>
      <c r="CA17" s="205"/>
      <c r="CB17" s="205"/>
      <c r="CC17" s="205"/>
      <c r="CD17" s="205"/>
      <c r="CH17" s="264">
        <f t="shared" si="108"/>
        <v>14</v>
      </c>
      <c r="CI17" s="68">
        <f t="shared" si="20"/>
        <v>14</v>
      </c>
      <c r="CJ17" s="12" t="s">
        <v>417</v>
      </c>
      <c r="CK17" s="271">
        <f t="shared" si="21"/>
        <v>1.5643177715426857E-4</v>
      </c>
      <c r="CL17" s="273">
        <f t="shared" si="22"/>
        <v>981.8674288441058</v>
      </c>
      <c r="CM17" s="271">
        <f t="shared" si="23"/>
        <v>3.4239815474568306E-4</v>
      </c>
      <c r="CN17" s="273">
        <f t="shared" si="24"/>
        <v>7166.4859464686297</v>
      </c>
      <c r="CO17" s="273">
        <f t="shared" si="25"/>
        <v>8148.3533753127358</v>
      </c>
      <c r="CP17" s="271">
        <f t="shared" si="26"/>
        <v>2.9949562219485173E-4</v>
      </c>
      <c r="CQ17" s="269">
        <f t="shared" si="27"/>
        <v>2.3290920000000002</v>
      </c>
      <c r="DD17" s="15"/>
      <c r="DG17" s="727">
        <f t="shared" si="109"/>
        <v>14</v>
      </c>
      <c r="DH17" s="740">
        <f t="shared" si="29"/>
        <v>14</v>
      </c>
      <c r="DI17" s="12" t="s">
        <v>417</v>
      </c>
      <c r="DJ17" s="271">
        <f t="shared" si="30"/>
        <v>2.9949562219485173E-4</v>
      </c>
      <c r="DK17" s="273">
        <f t="shared" si="31"/>
        <v>94.202553427575239</v>
      </c>
      <c r="DL17" s="271">
        <f t="shared" si="32"/>
        <v>3.4239815474568306E-4</v>
      </c>
      <c r="DM17" s="273">
        <f t="shared" si="33"/>
        <v>1214.4315801016028</v>
      </c>
      <c r="DN17" s="271">
        <f t="shared" si="34"/>
        <v>1.5643177715426857E-4</v>
      </c>
      <c r="DO17" s="273">
        <f t="shared" si="35"/>
        <v>676.33937985855152</v>
      </c>
      <c r="DP17" s="273">
        <f t="shared" si="82"/>
        <v>1984.9735133877293</v>
      </c>
      <c r="DQ17" s="271">
        <f t="shared" si="36"/>
        <v>2.4251593977714839E-4</v>
      </c>
      <c r="DR17" s="269">
        <f t="shared" si="37"/>
        <v>0.56737700000000002</v>
      </c>
      <c r="DV17" s="727">
        <f t="shared" si="110"/>
        <v>14</v>
      </c>
      <c r="DW17" s="740">
        <f t="shared" si="38"/>
        <v>14</v>
      </c>
      <c r="DX17" s="12" t="s">
        <v>417</v>
      </c>
      <c r="DY17" s="271">
        <f t="shared" si="39"/>
        <v>3.4239815474568306E-4</v>
      </c>
      <c r="DZ17" s="273">
        <f t="shared" si="40"/>
        <v>1505.3054764178628</v>
      </c>
      <c r="EA17" s="269">
        <f t="shared" si="41"/>
        <v>0.43026999999999999</v>
      </c>
      <c r="EM17" s="727">
        <f t="shared" si="111"/>
        <v>14</v>
      </c>
      <c r="EN17" s="740">
        <f t="shared" si="42"/>
        <v>14</v>
      </c>
      <c r="EO17" s="12" t="s">
        <v>417</v>
      </c>
      <c r="EP17" s="271">
        <f t="shared" si="43"/>
        <v>2.3313054298447269E-4</v>
      </c>
      <c r="EQ17" s="273">
        <f t="shared" si="44"/>
        <v>1939.7458970047614</v>
      </c>
      <c r="ER17" s="271">
        <f t="shared" si="45"/>
        <v>2.9949562219485173E-4</v>
      </c>
      <c r="ES17" s="273">
        <f t="shared" si="46"/>
        <v>327.15264616345308</v>
      </c>
      <c r="ET17" s="271">
        <f t="shared" si="47"/>
        <v>1.5643177715426857E-4</v>
      </c>
      <c r="EU17" s="273">
        <f t="shared" si="48"/>
        <v>856.87558515571129</v>
      </c>
      <c r="EV17" s="273">
        <f t="shared" si="49"/>
        <v>3123.7741283239257</v>
      </c>
      <c r="EW17" s="271">
        <f t="shared" si="50"/>
        <v>2.0978436942653591E-4</v>
      </c>
      <c r="EX17" s="269">
        <f t="shared" si="51"/>
        <v>0.89288699999999999</v>
      </c>
      <c r="FH17" s="727">
        <f t="shared" si="112"/>
        <v>14</v>
      </c>
      <c r="FI17" s="728">
        <f t="shared" si="52"/>
        <v>14</v>
      </c>
      <c r="FJ17" s="12" t="s">
        <v>417</v>
      </c>
      <c r="FK17" s="271">
        <f t="shared" si="53"/>
        <v>2.3313054298447269E-4</v>
      </c>
      <c r="FL17" s="273">
        <f t="shared" si="54"/>
        <v>5289.3979927513719</v>
      </c>
      <c r="FM17" s="269">
        <f t="shared" si="55"/>
        <v>1.5119</v>
      </c>
      <c r="FQ17" s="264">
        <f t="shared" si="83"/>
        <v>14</v>
      </c>
      <c r="FR17" s="728">
        <v>14</v>
      </c>
      <c r="FS17" s="12" t="s">
        <v>417</v>
      </c>
      <c r="FT17" s="273">
        <f t="shared" si="84"/>
        <v>9179.240915442766</v>
      </c>
      <c r="FU17" s="273">
        <f t="shared" si="56"/>
        <v>3329.3502288208774</v>
      </c>
      <c r="FV17" s="273">
        <f t="shared" si="57"/>
        <v>8148.3533753127358</v>
      </c>
      <c r="FW17" s="273">
        <f t="shared" si="58"/>
        <v>1984.9735133877293</v>
      </c>
      <c r="FX17" s="273">
        <f t="shared" si="59"/>
        <v>1505.3054764178628</v>
      </c>
      <c r="FY17" s="273">
        <f t="shared" si="60"/>
        <v>3123.7741283239257</v>
      </c>
      <c r="FZ17" s="273">
        <f t="shared" si="61"/>
        <v>5289.3979927513719</v>
      </c>
      <c r="GA17" s="273">
        <f t="shared" si="62"/>
        <v>32560.395630457268</v>
      </c>
      <c r="GB17" s="352">
        <f t="shared" si="63"/>
        <v>9.3069319999999998</v>
      </c>
      <c r="GF17" s="727">
        <f t="shared" si="85"/>
        <v>14</v>
      </c>
      <c r="GG17" s="728">
        <f t="shared" si="64"/>
        <v>14</v>
      </c>
      <c r="GH17" s="12" t="s">
        <v>417</v>
      </c>
      <c r="GI17" s="269">
        <f t="shared" si="86"/>
        <v>2.6237569999999999</v>
      </c>
      <c r="GJ17" s="269">
        <f t="shared" si="65"/>
        <v>0.95164800000000005</v>
      </c>
      <c r="GK17" s="269">
        <f t="shared" si="66"/>
        <v>2.3290920000000002</v>
      </c>
      <c r="GL17" s="269">
        <f t="shared" si="67"/>
        <v>0.56737700000000002</v>
      </c>
      <c r="GM17" s="269">
        <f t="shared" si="68"/>
        <v>0.43026999999999999</v>
      </c>
      <c r="GN17" s="269">
        <f t="shared" si="69"/>
        <v>0.89288699999999999</v>
      </c>
      <c r="GO17" s="269">
        <f t="shared" si="70"/>
        <v>1.5119</v>
      </c>
      <c r="GP17" s="269">
        <f t="shared" si="71"/>
        <v>9.3069319999999998</v>
      </c>
      <c r="GQ17" s="399">
        <v>349851</v>
      </c>
      <c r="GR17" s="708"/>
      <c r="GU17" s="264">
        <f t="shared" si="87"/>
        <v>14</v>
      </c>
      <c r="GV17" s="728">
        <f t="shared" si="72"/>
        <v>14</v>
      </c>
      <c r="GW17" s="12" t="s">
        <v>417</v>
      </c>
      <c r="GX17" s="248" t="s">
        <v>389</v>
      </c>
      <c r="GY17" s="273">
        <f t="shared" si="73"/>
        <v>32560.395630457268</v>
      </c>
      <c r="GZ17" s="399">
        <f t="shared" si="74"/>
        <v>349851</v>
      </c>
      <c r="HA17" s="352">
        <f t="shared" si="88"/>
        <v>9.3069319999999998</v>
      </c>
      <c r="HB17" s="273">
        <f t="shared" si="75"/>
        <v>32560.394671319998</v>
      </c>
      <c r="HC17" s="742">
        <f t="shared" si="76"/>
        <v>-9.5913726909202524E-4</v>
      </c>
      <c r="HD17" s="743"/>
      <c r="HG17" s="743"/>
      <c r="HH17" s="743"/>
      <c r="HI17" s="743"/>
      <c r="HJ17" s="743"/>
      <c r="HK17" s="743"/>
      <c r="HL17" s="743"/>
      <c r="HM17" s="743"/>
      <c r="HP17" s="727">
        <f>+HP16+1</f>
        <v>14</v>
      </c>
      <c r="HQ17" s="746">
        <f t="shared" si="77"/>
        <v>14</v>
      </c>
      <c r="HR17" s="12" t="s">
        <v>417</v>
      </c>
      <c r="HS17" s="399">
        <v>349851</v>
      </c>
      <c r="HT17" s="747">
        <f t="shared" si="89"/>
        <v>9.3069319999999998</v>
      </c>
      <c r="HU17" s="747">
        <v>10.1</v>
      </c>
      <c r="HV17" s="737">
        <f t="shared" si="90"/>
        <v>-7.8521584158415814E-2</v>
      </c>
      <c r="HW17" s="747">
        <f t="shared" si="91"/>
        <v>-0.79306799999999988</v>
      </c>
      <c r="HX17" s="739">
        <v>10</v>
      </c>
      <c r="IO17" s="727">
        <f t="shared" si="114"/>
        <v>14</v>
      </c>
      <c r="IP17" s="746">
        <v>14</v>
      </c>
      <c r="IQ17" s="12" t="s">
        <v>417</v>
      </c>
      <c r="IR17" s="753">
        <f t="shared" si="92"/>
        <v>32560.395630457268</v>
      </c>
      <c r="IS17" s="754">
        <f t="shared" si="92"/>
        <v>349851</v>
      </c>
      <c r="IT17" s="755">
        <f t="shared" si="92"/>
        <v>9.3069319999999998</v>
      </c>
      <c r="IU17" s="399">
        <v>0</v>
      </c>
      <c r="IV17" s="399">
        <f t="shared" si="94"/>
        <v>349851</v>
      </c>
      <c r="IW17" s="753">
        <f t="shared" si="95"/>
        <v>0</v>
      </c>
      <c r="IX17" s="753">
        <f t="shared" si="96"/>
        <v>32560.395630457268</v>
      </c>
      <c r="IY17" s="633">
        <f>IT17</f>
        <v>9.3069319999999998</v>
      </c>
      <c r="IZ17" s="633">
        <f>IY17</f>
        <v>9.3069319999999998</v>
      </c>
      <c r="JA17" s="753">
        <f t="shared" si="99"/>
        <v>32560.394671319998</v>
      </c>
      <c r="JB17" s="352">
        <f t="shared" si="100"/>
        <v>0</v>
      </c>
      <c r="JF17" s="727">
        <f>+JF16+1</f>
        <v>14</v>
      </c>
      <c r="JG17" s="746">
        <f t="shared" si="78"/>
        <v>14</v>
      </c>
      <c r="JH17" s="12" t="s">
        <v>417</v>
      </c>
      <c r="JI17" s="399">
        <v>349851</v>
      </c>
      <c r="JJ17" s="747">
        <f t="shared" si="101"/>
        <v>9.3069319999999998</v>
      </c>
      <c r="JK17" s="747">
        <v>10.1</v>
      </c>
      <c r="JL17" s="737">
        <f t="shared" si="117"/>
        <v>-7.8521584158415814E-2</v>
      </c>
      <c r="JM17" s="747">
        <f t="shared" si="102"/>
        <v>-0.79306799999999988</v>
      </c>
      <c r="JN17" s="739">
        <v>10</v>
      </c>
    </row>
    <row r="18" spans="2:275" x14ac:dyDescent="0.3">
      <c r="I18" s="264">
        <f t="shared" si="103"/>
        <v>15</v>
      </c>
      <c r="J18" s="726">
        <f t="shared" si="1"/>
        <v>15</v>
      </c>
      <c r="K18" s="12" t="s">
        <v>418</v>
      </c>
      <c r="L18" s="399">
        <v>98910855</v>
      </c>
      <c r="M18" s="271">
        <f t="shared" si="2"/>
        <v>4.4226830357775658E-2</v>
      </c>
      <c r="N18" s="399">
        <v>1627</v>
      </c>
      <c r="O18" s="399">
        <f t="shared" si="79"/>
        <v>60793.395820528582</v>
      </c>
      <c r="P18" s="271">
        <f t="shared" si="3"/>
        <v>3.2985868290039647E-2</v>
      </c>
      <c r="Q18" s="248" t="s">
        <v>385</v>
      </c>
      <c r="U18" s="727">
        <f t="shared" si="104"/>
        <v>15</v>
      </c>
      <c r="V18" s="728">
        <f t="shared" si="4"/>
        <v>15</v>
      </c>
      <c r="W18" s="12" t="s">
        <v>418</v>
      </c>
      <c r="X18" s="273">
        <f t="shared" si="80"/>
        <v>5439631.7625032226</v>
      </c>
      <c r="Y18" s="271">
        <f t="shared" si="5"/>
        <v>5.2517189230275103E-2</v>
      </c>
      <c r="AC18" s="727">
        <f t="shared" si="105"/>
        <v>15</v>
      </c>
      <c r="AD18" s="68">
        <v>15</v>
      </c>
      <c r="AE18" s="275" t="s">
        <v>418</v>
      </c>
      <c r="AF18" s="301">
        <v>5.12</v>
      </c>
      <c r="AP18" s="727">
        <f t="shared" si="81"/>
        <v>15</v>
      </c>
      <c r="AQ18" s="733">
        <f t="shared" si="6"/>
        <v>15</v>
      </c>
      <c r="AR18" s="12" t="s">
        <v>418</v>
      </c>
      <c r="AS18" s="12">
        <f t="shared" si="7"/>
        <v>5.12</v>
      </c>
      <c r="AT18" s="734">
        <v>98910855</v>
      </c>
      <c r="AU18" s="734">
        <f t="shared" si="106"/>
        <v>140673.21600000001</v>
      </c>
      <c r="AV18" s="735">
        <f t="shared" si="8"/>
        <v>138595.16159938177</v>
      </c>
      <c r="AW18" s="736">
        <f t="shared" si="9"/>
        <v>21.544156020912027</v>
      </c>
      <c r="AX18" s="273">
        <f>AV18*AW18</f>
        <v>2985915.7852405962</v>
      </c>
      <c r="AY18" s="271">
        <f t="shared" si="10"/>
        <v>6.5978949451376806E-2</v>
      </c>
      <c r="AZ18" s="269">
        <f t="shared" si="11"/>
        <v>3.0187949999999999</v>
      </c>
      <c r="BK18" s="264">
        <f t="shared" si="107"/>
        <v>15</v>
      </c>
      <c r="BL18" s="248">
        <f t="shared" si="12"/>
        <v>15</v>
      </c>
      <c r="BM18" s="12" t="s">
        <v>418</v>
      </c>
      <c r="BN18" s="271">
        <f t="shared" si="13"/>
        <v>6.5978949451376806E-2</v>
      </c>
      <c r="BO18" s="273">
        <f t="shared" si="14"/>
        <v>611438.10332116601</v>
      </c>
      <c r="BP18" s="271">
        <f t="shared" si="15"/>
        <v>4.4226830357775658E-2</v>
      </c>
      <c r="BQ18" s="273">
        <f t="shared" si="16"/>
        <v>409857.5302383966</v>
      </c>
      <c r="BR18" s="464">
        <f t="shared" si="17"/>
        <v>1021295.6335595626</v>
      </c>
      <c r="BS18" s="269">
        <f t="shared" si="18"/>
        <v>1.0325420000000001</v>
      </c>
      <c r="BV18" s="15"/>
      <c r="BW18" s="205"/>
      <c r="BX18" s="205"/>
      <c r="BY18" s="205"/>
      <c r="BZ18" s="205"/>
      <c r="CA18" s="205"/>
      <c r="CB18" s="205"/>
      <c r="CC18" s="205"/>
      <c r="CD18" s="205"/>
      <c r="CH18" s="264">
        <f t="shared" si="108"/>
        <v>15</v>
      </c>
      <c r="CI18" s="68">
        <f t="shared" si="20"/>
        <v>15</v>
      </c>
      <c r="CJ18" s="12" t="s">
        <v>418</v>
      </c>
      <c r="CK18" s="271">
        <f t="shared" si="21"/>
        <v>4.4226830357775658E-2</v>
      </c>
      <c r="CL18" s="273">
        <f t="shared" si="22"/>
        <v>277596.31066831929</v>
      </c>
      <c r="CM18" s="271">
        <f t="shared" si="23"/>
        <v>3.2985868290039647E-2</v>
      </c>
      <c r="CN18" s="273">
        <f t="shared" si="24"/>
        <v>690403.14106895681</v>
      </c>
      <c r="CO18" s="273">
        <f t="shared" si="25"/>
        <v>967999.45173727605</v>
      </c>
      <c r="CP18" s="271">
        <f t="shared" si="26"/>
        <v>3.5579163633315543E-2</v>
      </c>
      <c r="CQ18" s="269">
        <f t="shared" si="27"/>
        <v>0.97865800000000003</v>
      </c>
      <c r="DD18" s="15"/>
      <c r="DG18" s="727">
        <f t="shared" si="109"/>
        <v>15</v>
      </c>
      <c r="DH18" s="740">
        <f t="shared" si="29"/>
        <v>15</v>
      </c>
      <c r="DI18" s="12" t="s">
        <v>418</v>
      </c>
      <c r="DJ18" s="271">
        <f t="shared" si="30"/>
        <v>3.5579163633315543E-2</v>
      </c>
      <c r="DK18" s="273">
        <f t="shared" si="31"/>
        <v>11190.975141851217</v>
      </c>
      <c r="DL18" s="271">
        <f t="shared" si="32"/>
        <v>3.2985868290039647E-2</v>
      </c>
      <c r="DM18" s="273">
        <f t="shared" si="33"/>
        <v>116995.60757928199</v>
      </c>
      <c r="DN18" s="271">
        <f t="shared" si="34"/>
        <v>4.4226830357775658E-2</v>
      </c>
      <c r="DO18" s="273">
        <f t="shared" si="35"/>
        <v>191216.56457171513</v>
      </c>
      <c r="DP18" s="273">
        <f t="shared" si="82"/>
        <v>319403.14729284833</v>
      </c>
      <c r="DQ18" s="271">
        <f t="shared" si="36"/>
        <v>3.9023369284814008E-2</v>
      </c>
      <c r="DR18" s="269">
        <f t="shared" si="37"/>
        <v>0.32291999999999998</v>
      </c>
      <c r="DV18" s="727">
        <f t="shared" si="110"/>
        <v>15</v>
      </c>
      <c r="DW18" s="740">
        <f t="shared" si="38"/>
        <v>15</v>
      </c>
      <c r="DX18" s="12" t="s">
        <v>418</v>
      </c>
      <c r="DY18" s="271">
        <f t="shared" si="39"/>
        <v>3.2985868290039647E-2</v>
      </c>
      <c r="DZ18" s="273">
        <f t="shared" si="40"/>
        <v>145017.74467293924</v>
      </c>
      <c r="EA18" s="269">
        <f t="shared" si="41"/>
        <v>0.146615</v>
      </c>
      <c r="EM18" s="727">
        <f t="shared" si="111"/>
        <v>15</v>
      </c>
      <c r="EN18" s="740">
        <f t="shared" si="42"/>
        <v>15</v>
      </c>
      <c r="EO18" s="12" t="s">
        <v>418</v>
      </c>
      <c r="EP18" s="271">
        <f t="shared" si="43"/>
        <v>5.2517189230275103E-2</v>
      </c>
      <c r="EQ18" s="273">
        <f t="shared" si="44"/>
        <v>436965.49164059415</v>
      </c>
      <c r="ER18" s="271">
        <f t="shared" si="45"/>
        <v>3.5579163633315543E-2</v>
      </c>
      <c r="ES18" s="273">
        <f t="shared" si="46"/>
        <v>38864.733466283586</v>
      </c>
      <c r="ET18" s="271">
        <f t="shared" si="47"/>
        <v>4.4226830357775658E-2</v>
      </c>
      <c r="EU18" s="273">
        <f t="shared" si="48"/>
        <v>242258.26639448429</v>
      </c>
      <c r="EV18" s="273">
        <f t="shared" si="49"/>
        <v>718088.49150136206</v>
      </c>
      <c r="EW18" s="271">
        <f t="shared" si="50"/>
        <v>4.8224914860567777E-2</v>
      </c>
      <c r="EX18" s="269">
        <f t="shared" si="51"/>
        <v>0.72599599999999997</v>
      </c>
      <c r="FH18" s="727">
        <f t="shared" si="112"/>
        <v>15</v>
      </c>
      <c r="FI18" s="728">
        <f t="shared" si="52"/>
        <v>15</v>
      </c>
      <c r="FJ18" s="12" t="s">
        <v>418</v>
      </c>
      <c r="FK18" s="271">
        <f t="shared" si="53"/>
        <v>5.2517189230275103E-2</v>
      </c>
      <c r="FL18" s="273">
        <f t="shared" si="54"/>
        <v>1191539.7774287451</v>
      </c>
      <c r="FM18" s="269">
        <f t="shared" si="55"/>
        <v>1.2046600000000001</v>
      </c>
      <c r="FQ18" s="264">
        <f t="shared" si="83"/>
        <v>15</v>
      </c>
      <c r="FR18" s="728">
        <v>15</v>
      </c>
      <c r="FS18" s="12" t="s">
        <v>418</v>
      </c>
      <c r="FT18" s="273">
        <f t="shared" si="84"/>
        <v>2985915.7852405962</v>
      </c>
      <c r="FU18" s="273">
        <f t="shared" si="56"/>
        <v>1021295.6335595626</v>
      </c>
      <c r="FV18" s="273">
        <f t="shared" si="57"/>
        <v>967999.45173727605</v>
      </c>
      <c r="FW18" s="273">
        <f t="shared" si="58"/>
        <v>319403.14729284833</v>
      </c>
      <c r="FX18" s="273">
        <f t="shared" si="59"/>
        <v>145017.74467293924</v>
      </c>
      <c r="FY18" s="273">
        <f t="shared" si="60"/>
        <v>718088.49150136206</v>
      </c>
      <c r="FZ18" s="273">
        <f t="shared" si="61"/>
        <v>1191539.7774287451</v>
      </c>
      <c r="GA18" s="273">
        <f t="shared" si="62"/>
        <v>7349260.0314333299</v>
      </c>
      <c r="GB18" s="352">
        <f t="shared" si="63"/>
        <v>7.430186</v>
      </c>
      <c r="GF18" s="727">
        <f t="shared" si="85"/>
        <v>15</v>
      </c>
      <c r="GG18" s="728">
        <f t="shared" si="64"/>
        <v>15</v>
      </c>
      <c r="GH18" s="12" t="s">
        <v>418</v>
      </c>
      <c r="GI18" s="269">
        <f t="shared" si="86"/>
        <v>3.0187949999999999</v>
      </c>
      <c r="GJ18" s="269">
        <f t="shared" si="65"/>
        <v>1.0325420000000001</v>
      </c>
      <c r="GK18" s="269">
        <f t="shared" si="66"/>
        <v>0.97865800000000003</v>
      </c>
      <c r="GL18" s="269">
        <f t="shared" si="67"/>
        <v>0.32291999999999998</v>
      </c>
      <c r="GM18" s="269">
        <f t="shared" si="68"/>
        <v>0.146615</v>
      </c>
      <c r="GN18" s="269">
        <f t="shared" si="69"/>
        <v>0.72599599999999997</v>
      </c>
      <c r="GO18" s="269">
        <f t="shared" si="70"/>
        <v>1.2046600000000001</v>
      </c>
      <c r="GP18" s="269">
        <f t="shared" si="71"/>
        <v>7.430186</v>
      </c>
      <c r="GQ18" s="399">
        <v>98910855</v>
      </c>
      <c r="GR18" s="708"/>
      <c r="GU18" s="264">
        <f t="shared" si="87"/>
        <v>15</v>
      </c>
      <c r="GV18" s="728">
        <f t="shared" si="72"/>
        <v>15</v>
      </c>
      <c r="GW18" s="12" t="s">
        <v>418</v>
      </c>
      <c r="GX18" s="248" t="s">
        <v>385</v>
      </c>
      <c r="GY18" s="273">
        <f t="shared" si="73"/>
        <v>7349260.0314333299</v>
      </c>
      <c r="GZ18" s="399">
        <f t="shared" si="74"/>
        <v>98910855</v>
      </c>
      <c r="HA18" s="352">
        <f t="shared" si="88"/>
        <v>7.430186</v>
      </c>
      <c r="HB18" s="273">
        <f t="shared" si="75"/>
        <v>7349260.5006903</v>
      </c>
      <c r="HC18" s="742">
        <f t="shared" si="76"/>
        <v>0.46925697010010481</v>
      </c>
      <c r="HD18" s="743"/>
      <c r="HG18" s="743"/>
      <c r="HH18" s="743"/>
      <c r="HI18" s="743"/>
      <c r="HJ18" s="743"/>
      <c r="HK18" s="743"/>
      <c r="HL18" s="743"/>
      <c r="HM18" s="743"/>
      <c r="HP18" s="727">
        <f t="shared" si="113"/>
        <v>15</v>
      </c>
      <c r="HQ18" s="746">
        <f t="shared" si="77"/>
        <v>15</v>
      </c>
      <c r="HR18" s="12" t="s">
        <v>418</v>
      </c>
      <c r="HS18" s="399">
        <v>98910855</v>
      </c>
      <c r="HT18" s="747">
        <f t="shared" si="89"/>
        <v>7.430186</v>
      </c>
      <c r="HU18" s="747">
        <v>6.1879999999999997</v>
      </c>
      <c r="HV18" s="737">
        <f t="shared" si="90"/>
        <v>0.20074111182934717</v>
      </c>
      <c r="HW18" s="747">
        <f t="shared" si="91"/>
        <v>1.2421860000000002</v>
      </c>
      <c r="HX18" s="739">
        <v>10</v>
      </c>
      <c r="IO18" s="727">
        <f t="shared" si="114"/>
        <v>15</v>
      </c>
      <c r="IP18" s="746">
        <v>15</v>
      </c>
      <c r="IQ18" s="12" t="s">
        <v>418</v>
      </c>
      <c r="IR18" s="753">
        <f t="shared" si="92"/>
        <v>7349260.0314333299</v>
      </c>
      <c r="IS18" s="754">
        <f t="shared" si="92"/>
        <v>98910855</v>
      </c>
      <c r="IT18" s="755">
        <f t="shared" si="92"/>
        <v>7.430186</v>
      </c>
      <c r="IU18" s="399">
        <f t="shared" si="93"/>
        <v>14184682.484154595</v>
      </c>
      <c r="IV18" s="399">
        <f t="shared" si="94"/>
        <v>84726172.515845403</v>
      </c>
      <c r="IW18" s="753">
        <f t="shared" si="95"/>
        <v>212770.23726231893</v>
      </c>
      <c r="IX18" s="753">
        <f>IR18-IW18</f>
        <v>7136489.7941710111</v>
      </c>
      <c r="IY18" s="633">
        <f t="shared" si="97"/>
        <v>7.2150723944010107</v>
      </c>
      <c r="IZ18" s="633">
        <f>IY18+1.5</f>
        <v>8.7150723944010107</v>
      </c>
      <c r="JA18" s="753">
        <f>(IY18*IV18+IZ18*IU18)/100</f>
        <v>7349260.0314333299</v>
      </c>
      <c r="JB18" s="352">
        <f>IT18-IY18</f>
        <v>0.21511360559898929</v>
      </c>
      <c r="JF18" s="727">
        <f t="shared" si="115"/>
        <v>15</v>
      </c>
      <c r="JG18" s="746">
        <f t="shared" si="78"/>
        <v>15</v>
      </c>
      <c r="JH18" s="12" t="s">
        <v>418</v>
      </c>
      <c r="JI18" s="399">
        <v>98910855</v>
      </c>
      <c r="JJ18" s="747">
        <f t="shared" si="101"/>
        <v>7.2150723944010107</v>
      </c>
      <c r="JK18" s="747">
        <v>5.9690000000000003</v>
      </c>
      <c r="JL18" s="737">
        <f t="shared" si="117"/>
        <v>0.20875731184469926</v>
      </c>
      <c r="JM18" s="747">
        <f t="shared" si="102"/>
        <v>1.2460723944010104</v>
      </c>
      <c r="JN18" s="739">
        <v>10</v>
      </c>
    </row>
    <row r="19" spans="2:275" x14ac:dyDescent="0.3">
      <c r="B19" s="18"/>
      <c r="I19" s="264">
        <f t="shared" si="103"/>
        <v>16</v>
      </c>
      <c r="J19" s="726">
        <f t="shared" si="1"/>
        <v>16</v>
      </c>
      <c r="K19" s="12" t="s">
        <v>419</v>
      </c>
      <c r="L19" s="399">
        <v>10503104</v>
      </c>
      <c r="M19" s="271">
        <f t="shared" si="2"/>
        <v>4.6963399400204858E-3</v>
      </c>
      <c r="N19" s="399">
        <v>277</v>
      </c>
      <c r="O19" s="399">
        <f t="shared" si="79"/>
        <v>37917.342960288806</v>
      </c>
      <c r="P19" s="271">
        <f t="shared" si="3"/>
        <v>2.0573558425469672E-2</v>
      </c>
      <c r="Q19" s="248" t="s">
        <v>385</v>
      </c>
      <c r="U19" s="727">
        <f t="shared" si="104"/>
        <v>16</v>
      </c>
      <c r="V19" s="728">
        <f t="shared" si="4"/>
        <v>16</v>
      </c>
      <c r="W19" s="12" t="s">
        <v>419</v>
      </c>
      <c r="X19" s="273">
        <f t="shared" si="80"/>
        <v>1417099.1572534335</v>
      </c>
      <c r="Y19" s="271">
        <f t="shared" si="5"/>
        <v>1.36814526881309E-2</v>
      </c>
      <c r="AC19" s="727">
        <f t="shared" si="105"/>
        <v>16</v>
      </c>
      <c r="AD19" s="68">
        <v>16</v>
      </c>
      <c r="AE19" s="275" t="s">
        <v>419</v>
      </c>
      <c r="AF19" s="301">
        <v>9.7100000000000009</v>
      </c>
      <c r="AP19" s="727">
        <f t="shared" si="81"/>
        <v>16</v>
      </c>
      <c r="AQ19" s="733">
        <f t="shared" si="6"/>
        <v>16</v>
      </c>
      <c r="AR19" s="12" t="s">
        <v>419</v>
      </c>
      <c r="AS19" s="12">
        <f t="shared" si="7"/>
        <v>9.7100000000000009</v>
      </c>
      <c r="AT19" s="734">
        <v>10503104</v>
      </c>
      <c r="AU19" s="734">
        <f t="shared" si="106"/>
        <v>28329.205511111111</v>
      </c>
      <c r="AV19" s="735">
        <f t="shared" si="8"/>
        <v>27910.720515514062</v>
      </c>
      <c r="AW19" s="736">
        <f t="shared" si="9"/>
        <v>21.544156020912027</v>
      </c>
      <c r="AX19" s="273">
        <f t="shared" si="116"/>
        <v>601312.91744230513</v>
      </c>
      <c r="AY19" s="271">
        <f t="shared" si="10"/>
        <v>1.3287044055460176E-2</v>
      </c>
      <c r="AZ19" s="269">
        <f t="shared" si="11"/>
        <v>5.7250969999999999</v>
      </c>
      <c r="BK19" s="264">
        <f t="shared" si="107"/>
        <v>16</v>
      </c>
      <c r="BL19" s="248">
        <f t="shared" si="12"/>
        <v>16</v>
      </c>
      <c r="BM19" s="12" t="s">
        <v>419</v>
      </c>
      <c r="BN19" s="271">
        <f t="shared" si="13"/>
        <v>1.3287044055460176E-2</v>
      </c>
      <c r="BO19" s="273">
        <f t="shared" si="14"/>
        <v>123133.28847411365</v>
      </c>
      <c r="BP19" s="271">
        <f t="shared" si="15"/>
        <v>4.6963399400204858E-3</v>
      </c>
      <c r="BQ19" s="273">
        <f t="shared" si="16"/>
        <v>43521.777920906912</v>
      </c>
      <c r="BR19" s="464">
        <f t="shared" si="17"/>
        <v>166655.06639502058</v>
      </c>
      <c r="BS19" s="269">
        <f t="shared" si="18"/>
        <v>1.586722</v>
      </c>
      <c r="BV19" s="15"/>
      <c r="BW19" s="205"/>
      <c r="BX19" s="205"/>
      <c r="BY19" s="205"/>
      <c r="BZ19" s="205"/>
      <c r="CA19" s="205"/>
      <c r="CB19" s="205"/>
      <c r="CC19" s="205"/>
      <c r="CD19" s="205"/>
      <c r="CH19" s="264">
        <f t="shared" si="108"/>
        <v>16</v>
      </c>
      <c r="CI19" s="68">
        <f t="shared" si="20"/>
        <v>16</v>
      </c>
      <c r="CJ19" s="12" t="s">
        <v>419</v>
      </c>
      <c r="CK19" s="271">
        <f t="shared" si="21"/>
        <v>4.6963399400204858E-3</v>
      </c>
      <c r="CL19" s="273">
        <f t="shared" si="22"/>
        <v>29477.27952574737</v>
      </c>
      <c r="CM19" s="271">
        <f t="shared" si="23"/>
        <v>2.0573558425469672E-2</v>
      </c>
      <c r="CN19" s="273">
        <f t="shared" si="24"/>
        <v>430610.13992464746</v>
      </c>
      <c r="CO19" s="273">
        <f t="shared" si="25"/>
        <v>460087.41945039481</v>
      </c>
      <c r="CP19" s="271">
        <f t="shared" si="26"/>
        <v>1.6910676501806863E-2</v>
      </c>
      <c r="CQ19" s="269">
        <f t="shared" si="27"/>
        <v>4.38049</v>
      </c>
      <c r="DD19" s="15"/>
      <c r="DG19" s="727">
        <f t="shared" si="109"/>
        <v>16</v>
      </c>
      <c r="DH19" s="740">
        <f t="shared" si="29"/>
        <v>16</v>
      </c>
      <c r="DI19" s="12" t="s">
        <v>419</v>
      </c>
      <c r="DJ19" s="271">
        <f t="shared" si="30"/>
        <v>1.6910676501806863E-2</v>
      </c>
      <c r="DK19" s="273">
        <f t="shared" si="31"/>
        <v>5319.0390396473913</v>
      </c>
      <c r="DL19" s="271">
        <f t="shared" si="32"/>
        <v>2.0573558425469672E-2</v>
      </c>
      <c r="DM19" s="273">
        <f t="shared" si="33"/>
        <v>72971.126510636634</v>
      </c>
      <c r="DN19" s="271">
        <f t="shared" si="34"/>
        <v>4.6963399400204858E-3</v>
      </c>
      <c r="DO19" s="273">
        <f t="shared" si="35"/>
        <v>20304.823613337885</v>
      </c>
      <c r="DP19" s="273">
        <f t="shared" si="82"/>
        <v>98594.989163621911</v>
      </c>
      <c r="DQ19" s="271">
        <f t="shared" si="36"/>
        <v>1.2045932246987604E-2</v>
      </c>
      <c r="DR19" s="269">
        <f t="shared" si="37"/>
        <v>0.93872199999999995</v>
      </c>
      <c r="DV19" s="727">
        <f t="shared" si="110"/>
        <v>16</v>
      </c>
      <c r="DW19" s="740">
        <f t="shared" si="38"/>
        <v>16</v>
      </c>
      <c r="DX19" s="12" t="s">
        <v>419</v>
      </c>
      <c r="DY19" s="271">
        <f t="shared" si="39"/>
        <v>2.0573558425469672E-2</v>
      </c>
      <c r="DZ19" s="273">
        <f t="shared" si="40"/>
        <v>90448.764802091333</v>
      </c>
      <c r="EA19" s="269">
        <f t="shared" si="41"/>
        <v>0.86116199999999998</v>
      </c>
      <c r="EM19" s="727">
        <f t="shared" si="111"/>
        <v>16</v>
      </c>
      <c r="EN19" s="740">
        <f t="shared" si="42"/>
        <v>16</v>
      </c>
      <c r="EO19" s="12" t="s">
        <v>419</v>
      </c>
      <c r="EP19" s="271">
        <f t="shared" si="43"/>
        <v>1.36814526881309E-2</v>
      </c>
      <c r="EQ19" s="273">
        <f t="shared" si="44"/>
        <v>113835.54199774774</v>
      </c>
      <c r="ER19" s="271">
        <f t="shared" si="45"/>
        <v>1.6910676501806863E-2</v>
      </c>
      <c r="ES19" s="273">
        <f t="shared" si="46"/>
        <v>18472.298611366285</v>
      </c>
      <c r="ET19" s="271">
        <f t="shared" si="47"/>
        <v>4.6963399400204858E-3</v>
      </c>
      <c r="EU19" s="273">
        <f t="shared" si="48"/>
        <v>25724.818239625707</v>
      </c>
      <c r="EV19" s="273">
        <f t="shared" si="49"/>
        <v>158032.65884873975</v>
      </c>
      <c r="EW19" s="271">
        <f t="shared" si="50"/>
        <v>1.0613053416627792E-2</v>
      </c>
      <c r="EX19" s="269">
        <f t="shared" si="51"/>
        <v>1.5046280000000001</v>
      </c>
      <c r="FH19" s="727">
        <f t="shared" si="112"/>
        <v>16</v>
      </c>
      <c r="FI19" s="728">
        <f t="shared" si="52"/>
        <v>16</v>
      </c>
      <c r="FJ19" s="12" t="s">
        <v>419</v>
      </c>
      <c r="FK19" s="271">
        <f t="shared" si="53"/>
        <v>1.36814526881309E-2</v>
      </c>
      <c r="FL19" s="273">
        <f t="shared" si="54"/>
        <v>310412.55881835404</v>
      </c>
      <c r="FM19" s="269">
        <f t="shared" si="55"/>
        <v>2.9554360000000002</v>
      </c>
      <c r="FQ19" s="264">
        <f t="shared" si="83"/>
        <v>16</v>
      </c>
      <c r="FR19" s="728">
        <v>16</v>
      </c>
      <c r="FS19" s="12" t="s">
        <v>419</v>
      </c>
      <c r="FT19" s="273">
        <f t="shared" si="84"/>
        <v>601312.91744230513</v>
      </c>
      <c r="FU19" s="273">
        <f t="shared" si="56"/>
        <v>166655.06639502058</v>
      </c>
      <c r="FV19" s="273">
        <f t="shared" si="57"/>
        <v>460087.41945039481</v>
      </c>
      <c r="FW19" s="273">
        <f t="shared" si="58"/>
        <v>98594.989163621911</v>
      </c>
      <c r="FX19" s="273">
        <f t="shared" si="59"/>
        <v>90448.764802091333</v>
      </c>
      <c r="FY19" s="273">
        <f t="shared" si="60"/>
        <v>158032.65884873975</v>
      </c>
      <c r="FZ19" s="273">
        <f t="shared" si="61"/>
        <v>310412.55881835404</v>
      </c>
      <c r="GA19" s="273">
        <f t="shared" si="62"/>
        <v>1885544.3749205272</v>
      </c>
      <c r="GB19" s="352">
        <f t="shared" si="63"/>
        <v>17.952258</v>
      </c>
      <c r="GF19" s="727">
        <f t="shared" si="85"/>
        <v>16</v>
      </c>
      <c r="GG19" s="728">
        <f t="shared" si="64"/>
        <v>16</v>
      </c>
      <c r="GH19" s="12" t="s">
        <v>419</v>
      </c>
      <c r="GI19" s="269">
        <f t="shared" si="86"/>
        <v>5.7250969999999999</v>
      </c>
      <c r="GJ19" s="269">
        <f t="shared" si="65"/>
        <v>1.586722</v>
      </c>
      <c r="GK19" s="269">
        <f t="shared" si="66"/>
        <v>4.38049</v>
      </c>
      <c r="GL19" s="269">
        <f t="shared" si="67"/>
        <v>0.93872199999999995</v>
      </c>
      <c r="GM19" s="269">
        <f t="shared" si="68"/>
        <v>0.86116199999999998</v>
      </c>
      <c r="GN19" s="269">
        <f t="shared" si="69"/>
        <v>1.5046280000000001</v>
      </c>
      <c r="GO19" s="269">
        <f t="shared" si="70"/>
        <v>2.9554360000000002</v>
      </c>
      <c r="GP19" s="269">
        <f t="shared" si="71"/>
        <v>17.952258</v>
      </c>
      <c r="GQ19" s="399">
        <v>10503104</v>
      </c>
      <c r="GR19" s="708"/>
      <c r="GU19" s="264">
        <f t="shared" si="87"/>
        <v>16</v>
      </c>
      <c r="GV19" s="728">
        <f t="shared" si="72"/>
        <v>16</v>
      </c>
      <c r="GW19" s="12" t="s">
        <v>419</v>
      </c>
      <c r="GX19" s="248" t="s">
        <v>385</v>
      </c>
      <c r="GY19" s="273">
        <f t="shared" si="73"/>
        <v>1885544.3749205272</v>
      </c>
      <c r="GZ19" s="399">
        <f t="shared" si="74"/>
        <v>10503104</v>
      </c>
      <c r="HA19" s="352">
        <f t="shared" si="88"/>
        <v>17.952258</v>
      </c>
      <c r="HB19" s="273">
        <f t="shared" si="75"/>
        <v>1885544.3280883201</v>
      </c>
      <c r="HC19" s="742">
        <f t="shared" si="76"/>
        <v>-4.6832207124680281E-2</v>
      </c>
      <c r="HD19" s="743"/>
      <c r="HG19" s="743"/>
      <c r="HH19" s="743"/>
      <c r="HI19" s="743"/>
      <c r="HJ19" s="743"/>
      <c r="HK19" s="743"/>
      <c r="HL19" s="743"/>
      <c r="HM19" s="743"/>
      <c r="HP19" s="727">
        <f t="shared" si="113"/>
        <v>16</v>
      </c>
      <c r="HQ19" s="746">
        <f t="shared" si="77"/>
        <v>16</v>
      </c>
      <c r="HR19" s="12" t="s">
        <v>419</v>
      </c>
      <c r="HS19" s="399">
        <v>10503104</v>
      </c>
      <c r="HT19" s="747">
        <f t="shared" si="89"/>
        <v>17.952258</v>
      </c>
      <c r="HU19" s="747">
        <v>17.366</v>
      </c>
      <c r="HV19" s="737">
        <f t="shared" si="90"/>
        <v>3.3758954278475306E-2</v>
      </c>
      <c r="HW19" s="747">
        <f t="shared" si="91"/>
        <v>0.58625800000000083</v>
      </c>
      <c r="HX19" s="739">
        <v>25</v>
      </c>
      <c r="IO19" s="727">
        <f t="shared" si="114"/>
        <v>16</v>
      </c>
      <c r="IP19" s="746">
        <v>16</v>
      </c>
      <c r="IQ19" s="12" t="s">
        <v>419</v>
      </c>
      <c r="IR19" s="753">
        <f t="shared" si="92"/>
        <v>1885544.3749205272</v>
      </c>
      <c r="IS19" s="754">
        <f t="shared" si="92"/>
        <v>10503104</v>
      </c>
      <c r="IT19" s="755">
        <f t="shared" si="92"/>
        <v>17.952258</v>
      </c>
      <c r="IU19" s="399">
        <f t="shared" si="93"/>
        <v>1506237.0589967507</v>
      </c>
      <c r="IV19" s="399">
        <f t="shared" si="94"/>
        <v>8996866.94100325</v>
      </c>
      <c r="IW19" s="753">
        <f t="shared" si="95"/>
        <v>22593.55588495126</v>
      </c>
      <c r="IX19" s="753">
        <f t="shared" si="96"/>
        <v>1862950.819035576</v>
      </c>
      <c r="IY19" s="633">
        <f t="shared" si="97"/>
        <v>17.737145314714354</v>
      </c>
      <c r="IZ19" s="633">
        <f t="shared" si="98"/>
        <v>19.237145314714354</v>
      </c>
      <c r="JA19" s="753">
        <f t="shared" si="99"/>
        <v>1885544.3749205275</v>
      </c>
      <c r="JB19" s="352">
        <f t="shared" si="100"/>
        <v>0.21511268528564642</v>
      </c>
      <c r="JF19" s="727">
        <f t="shared" si="115"/>
        <v>16</v>
      </c>
      <c r="JG19" s="746">
        <f t="shared" si="78"/>
        <v>16</v>
      </c>
      <c r="JH19" s="12" t="s">
        <v>419</v>
      </c>
      <c r="JI19" s="399">
        <v>10503104</v>
      </c>
      <c r="JJ19" s="747">
        <f t="shared" si="101"/>
        <v>17.737145314714354</v>
      </c>
      <c r="JK19" s="747">
        <v>17.146999999999998</v>
      </c>
      <c r="JL19" s="737">
        <f t="shared" si="117"/>
        <v>3.4416825958730746E-2</v>
      </c>
      <c r="JM19" s="747">
        <f t="shared" si="102"/>
        <v>0.59014531471435561</v>
      </c>
      <c r="JN19" s="739">
        <v>25</v>
      </c>
    </row>
    <row r="20" spans="2:275" x14ac:dyDescent="0.3">
      <c r="I20" s="264">
        <f t="shared" si="103"/>
        <v>17</v>
      </c>
      <c r="J20" s="726">
        <f t="shared" si="1"/>
        <v>17</v>
      </c>
      <c r="K20" s="12" t="s">
        <v>420</v>
      </c>
      <c r="L20" s="399">
        <v>544652954</v>
      </c>
      <c r="M20" s="271">
        <f t="shared" si="2"/>
        <v>0.24353518934215448</v>
      </c>
      <c r="N20" s="399">
        <v>1236</v>
      </c>
      <c r="O20" s="399">
        <f t="shared" si="79"/>
        <v>440657.72977346281</v>
      </c>
      <c r="P20" s="271">
        <f t="shared" si="3"/>
        <v>0.23909633010477457</v>
      </c>
      <c r="Q20" s="248" t="s">
        <v>385</v>
      </c>
      <c r="U20" s="727">
        <f t="shared" si="104"/>
        <v>17</v>
      </c>
      <c r="V20" s="728">
        <f t="shared" si="4"/>
        <v>17</v>
      </c>
      <c r="W20" s="12" t="s">
        <v>420</v>
      </c>
      <c r="X20" s="273">
        <f t="shared" si="80"/>
        <v>23733725.220457897</v>
      </c>
      <c r="Y20" s="271">
        <f t="shared" si="5"/>
        <v>0.2291384036570438</v>
      </c>
      <c r="AC20" s="727">
        <f t="shared" si="105"/>
        <v>17</v>
      </c>
      <c r="AD20" s="68">
        <v>17</v>
      </c>
      <c r="AE20" s="275" t="s">
        <v>420</v>
      </c>
      <c r="AF20" s="301">
        <v>3.08</v>
      </c>
      <c r="AP20" s="727">
        <f t="shared" si="81"/>
        <v>17</v>
      </c>
      <c r="AQ20" s="733">
        <f t="shared" si="6"/>
        <v>17</v>
      </c>
      <c r="AR20" s="12" t="s">
        <v>420</v>
      </c>
      <c r="AS20" s="12">
        <f t="shared" si="7"/>
        <v>3.08</v>
      </c>
      <c r="AT20" s="734">
        <v>544652954</v>
      </c>
      <c r="AU20" s="734">
        <f t="shared" si="106"/>
        <v>465980.86064444442</v>
      </c>
      <c r="AV20" s="735">
        <f t="shared" si="8"/>
        <v>459097.29314239725</v>
      </c>
      <c r="AW20" s="736">
        <f t="shared" si="9"/>
        <v>21.544156020912027</v>
      </c>
      <c r="AX20" s="273">
        <f t="shared" si="116"/>
        <v>9890863.7122381907</v>
      </c>
      <c r="AY20" s="271">
        <f t="shared" si="10"/>
        <v>0.21855566058693687</v>
      </c>
      <c r="AZ20" s="269">
        <f t="shared" si="11"/>
        <v>1.8159940000000001</v>
      </c>
      <c r="BK20" s="264">
        <f t="shared" si="107"/>
        <v>17</v>
      </c>
      <c r="BL20" s="248">
        <f t="shared" si="12"/>
        <v>17</v>
      </c>
      <c r="BM20" s="12" t="s">
        <v>420</v>
      </c>
      <c r="BN20" s="271">
        <f t="shared" si="13"/>
        <v>0.21855566058693687</v>
      </c>
      <c r="BO20" s="273">
        <f t="shared" si="14"/>
        <v>2025392.3363521001</v>
      </c>
      <c r="BP20" s="271">
        <f t="shared" si="15"/>
        <v>0.24353518934215448</v>
      </c>
      <c r="BQ20" s="273">
        <f t="shared" si="16"/>
        <v>2256881.8615862438</v>
      </c>
      <c r="BR20" s="464">
        <f t="shared" si="17"/>
        <v>4282274.1979383435</v>
      </c>
      <c r="BS20" s="269">
        <f t="shared" si="18"/>
        <v>0.78623900000000002</v>
      </c>
      <c r="BV20" s="15"/>
      <c r="BW20" s="205"/>
      <c r="BX20" s="205"/>
      <c r="BY20" s="205"/>
      <c r="BZ20" s="205"/>
      <c r="CA20" s="205"/>
      <c r="CB20" s="205"/>
      <c r="CC20" s="205"/>
      <c r="CD20" s="205"/>
      <c r="CH20" s="264">
        <f t="shared" si="108"/>
        <v>17</v>
      </c>
      <c r="CI20" s="68">
        <f t="shared" si="20"/>
        <v>17</v>
      </c>
      <c r="CJ20" s="12" t="s">
        <v>420</v>
      </c>
      <c r="CK20" s="271">
        <f t="shared" si="21"/>
        <v>0.24353518934215448</v>
      </c>
      <c r="CL20" s="273">
        <f t="shared" si="22"/>
        <v>1528585.0134952508</v>
      </c>
      <c r="CM20" s="271">
        <f t="shared" si="23"/>
        <v>0.23909633010477457</v>
      </c>
      <c r="CN20" s="273">
        <f t="shared" si="24"/>
        <v>5004350.8289955081</v>
      </c>
      <c r="CO20" s="273">
        <f t="shared" si="25"/>
        <v>6532935.8424907587</v>
      </c>
      <c r="CP20" s="271">
        <f t="shared" si="26"/>
        <v>0.24012037706093267</v>
      </c>
      <c r="CQ20" s="269">
        <f t="shared" si="27"/>
        <v>1.199468</v>
      </c>
      <c r="DD20" s="15"/>
      <c r="DG20" s="727">
        <f t="shared" si="109"/>
        <v>17</v>
      </c>
      <c r="DH20" s="740">
        <f t="shared" si="29"/>
        <v>17</v>
      </c>
      <c r="DI20" s="12" t="s">
        <v>420</v>
      </c>
      <c r="DJ20" s="271">
        <f t="shared" si="30"/>
        <v>0.24012037706093267</v>
      </c>
      <c r="DK20" s="273">
        <f t="shared" si="31"/>
        <v>75526.822340045721</v>
      </c>
      <c r="DL20" s="271">
        <f t="shared" si="32"/>
        <v>0.23909633010477457</v>
      </c>
      <c r="DM20" s="273">
        <f t="shared" si="33"/>
        <v>848036.50352995005</v>
      </c>
      <c r="DN20" s="271">
        <f t="shared" si="34"/>
        <v>0.24353518934215448</v>
      </c>
      <c r="DO20" s="273">
        <f t="shared" si="35"/>
        <v>1052934.6525992157</v>
      </c>
      <c r="DP20" s="273">
        <f t="shared" si="82"/>
        <v>1976497.9784692116</v>
      </c>
      <c r="DQ20" s="271">
        <f t="shared" si="36"/>
        <v>0.24148043360942612</v>
      </c>
      <c r="DR20" s="269">
        <f t="shared" si="37"/>
        <v>0.36289100000000002</v>
      </c>
      <c r="DV20" s="727">
        <f t="shared" si="110"/>
        <v>17</v>
      </c>
      <c r="DW20" s="740">
        <f t="shared" si="38"/>
        <v>17</v>
      </c>
      <c r="DX20" s="12" t="s">
        <v>420</v>
      </c>
      <c r="DY20" s="271">
        <f t="shared" si="39"/>
        <v>0.23909633010477457</v>
      </c>
      <c r="DZ20" s="273">
        <f t="shared" si="40"/>
        <v>1051153.4893213909</v>
      </c>
      <c r="EA20" s="269">
        <f t="shared" si="41"/>
        <v>0.192995</v>
      </c>
      <c r="EM20" s="727">
        <f t="shared" si="111"/>
        <v>17</v>
      </c>
      <c r="EN20" s="740">
        <f t="shared" si="42"/>
        <v>17</v>
      </c>
      <c r="EO20" s="12" t="s">
        <v>420</v>
      </c>
      <c r="EP20" s="271">
        <f t="shared" si="43"/>
        <v>0.2291384036570438</v>
      </c>
      <c r="EQ20" s="273">
        <f t="shared" si="44"/>
        <v>1906529.5891734564</v>
      </c>
      <c r="ER20" s="271">
        <f t="shared" si="45"/>
        <v>0.24012037706093267</v>
      </c>
      <c r="ES20" s="273">
        <f t="shared" si="46"/>
        <v>262294.37404644844</v>
      </c>
      <c r="ET20" s="271">
        <f t="shared" si="47"/>
        <v>0.24353518934215448</v>
      </c>
      <c r="EU20" s="273">
        <f t="shared" si="48"/>
        <v>1333995.9544650058</v>
      </c>
      <c r="EV20" s="273">
        <f t="shared" si="49"/>
        <v>3502819.9176849108</v>
      </c>
      <c r="EW20" s="271">
        <f t="shared" si="50"/>
        <v>0.23524007737413438</v>
      </c>
      <c r="EX20" s="269">
        <f t="shared" si="51"/>
        <v>0.64312899999999995</v>
      </c>
      <c r="FH20" s="727">
        <f t="shared" si="112"/>
        <v>17</v>
      </c>
      <c r="FI20" s="728">
        <f t="shared" si="52"/>
        <v>17</v>
      </c>
      <c r="FJ20" s="12" t="s">
        <v>420</v>
      </c>
      <c r="FK20" s="271">
        <f t="shared" si="53"/>
        <v>0.2291384036570438</v>
      </c>
      <c r="FL20" s="273">
        <f t="shared" si="54"/>
        <v>5198822.0713171195</v>
      </c>
      <c r="FM20" s="269">
        <f t="shared" si="55"/>
        <v>0.95452000000000004</v>
      </c>
      <c r="FQ20" s="264">
        <f t="shared" si="83"/>
        <v>17</v>
      </c>
      <c r="FR20" s="728">
        <v>17</v>
      </c>
      <c r="FS20" s="12" t="s">
        <v>420</v>
      </c>
      <c r="FT20" s="273">
        <f t="shared" si="84"/>
        <v>9890863.7122381907</v>
      </c>
      <c r="FU20" s="273">
        <f t="shared" si="56"/>
        <v>4282274.1979383435</v>
      </c>
      <c r="FV20" s="273">
        <f t="shared" si="57"/>
        <v>6532935.8424907587</v>
      </c>
      <c r="FW20" s="273">
        <f t="shared" si="58"/>
        <v>1976497.9784692116</v>
      </c>
      <c r="FX20" s="273">
        <f t="shared" si="59"/>
        <v>1051153.4893213909</v>
      </c>
      <c r="FY20" s="273">
        <f t="shared" si="60"/>
        <v>3502819.9176849108</v>
      </c>
      <c r="FZ20" s="273">
        <f t="shared" si="61"/>
        <v>5198822.0713171195</v>
      </c>
      <c r="GA20" s="273">
        <f t="shared" si="62"/>
        <v>32435367.209459931</v>
      </c>
      <c r="GB20" s="352">
        <f t="shared" si="63"/>
        <v>5.9552360000000002</v>
      </c>
      <c r="GF20" s="727">
        <f t="shared" si="85"/>
        <v>17</v>
      </c>
      <c r="GG20" s="728">
        <f t="shared" si="64"/>
        <v>17</v>
      </c>
      <c r="GH20" s="12" t="s">
        <v>420</v>
      </c>
      <c r="GI20" s="269">
        <f t="shared" si="86"/>
        <v>1.8159940000000001</v>
      </c>
      <c r="GJ20" s="269">
        <f t="shared" si="65"/>
        <v>0.78623900000000002</v>
      </c>
      <c r="GK20" s="269">
        <f t="shared" si="66"/>
        <v>1.199468</v>
      </c>
      <c r="GL20" s="269">
        <f t="shared" si="67"/>
        <v>0.36289100000000002</v>
      </c>
      <c r="GM20" s="269">
        <f t="shared" si="68"/>
        <v>0.192995</v>
      </c>
      <c r="GN20" s="269">
        <f t="shared" si="69"/>
        <v>0.64312899999999995</v>
      </c>
      <c r="GO20" s="269">
        <f t="shared" si="70"/>
        <v>0.95452000000000004</v>
      </c>
      <c r="GP20" s="269">
        <f t="shared" si="71"/>
        <v>5.9552360000000002</v>
      </c>
      <c r="GQ20" s="399">
        <v>544652954</v>
      </c>
      <c r="GR20" s="708"/>
      <c r="GU20" s="264">
        <f t="shared" si="87"/>
        <v>17</v>
      </c>
      <c r="GV20" s="728">
        <f t="shared" si="72"/>
        <v>17</v>
      </c>
      <c r="GW20" s="12" t="s">
        <v>420</v>
      </c>
      <c r="GX20" s="248" t="s">
        <v>385</v>
      </c>
      <c r="GY20" s="273">
        <f t="shared" si="73"/>
        <v>32435367.209459931</v>
      </c>
      <c r="GZ20" s="399">
        <f t="shared" si="74"/>
        <v>544652954</v>
      </c>
      <c r="HA20" s="352">
        <f t="shared" si="88"/>
        <v>5.9552360000000002</v>
      </c>
      <c r="HB20" s="273">
        <f t="shared" si="75"/>
        <v>32435368.791671444</v>
      </c>
      <c r="HC20" s="742">
        <f t="shared" si="76"/>
        <v>1.5822115130722523</v>
      </c>
      <c r="HD20" s="743"/>
      <c r="HG20" s="743"/>
      <c r="HH20" s="743"/>
      <c r="HI20" s="743"/>
      <c r="HJ20" s="743"/>
      <c r="HK20" s="743"/>
      <c r="HL20" s="743"/>
      <c r="HM20" s="743"/>
      <c r="HP20" s="727">
        <f t="shared" si="113"/>
        <v>17</v>
      </c>
      <c r="HQ20" s="746">
        <f t="shared" si="77"/>
        <v>17</v>
      </c>
      <c r="HR20" s="12" t="s">
        <v>420</v>
      </c>
      <c r="HS20" s="399">
        <v>544652954</v>
      </c>
      <c r="HT20" s="747">
        <f t="shared" si="89"/>
        <v>5.9552360000000002</v>
      </c>
      <c r="HU20" s="747">
        <v>5.3869999999999996</v>
      </c>
      <c r="HV20" s="737">
        <f t="shared" si="90"/>
        <v>0.10548282903285711</v>
      </c>
      <c r="HW20" s="747">
        <f t="shared" si="91"/>
        <v>0.56823600000000063</v>
      </c>
      <c r="HX20" s="739">
        <v>10</v>
      </c>
      <c r="IO20" s="727">
        <f t="shared" si="114"/>
        <v>17</v>
      </c>
      <c r="IP20" s="746">
        <v>17</v>
      </c>
      <c r="IQ20" s="12" t="s">
        <v>420</v>
      </c>
      <c r="IR20" s="753">
        <f t="shared" si="92"/>
        <v>32435367.209459931</v>
      </c>
      <c r="IS20" s="754">
        <f t="shared" si="92"/>
        <v>544652954</v>
      </c>
      <c r="IT20" s="755">
        <f t="shared" si="92"/>
        <v>5.9552360000000002</v>
      </c>
      <c r="IU20" s="399">
        <f t="shared" si="93"/>
        <v>78108001.559048891</v>
      </c>
      <c r="IV20" s="399">
        <f t="shared" si="94"/>
        <v>466544952.44095111</v>
      </c>
      <c r="IW20" s="753">
        <f t="shared" si="95"/>
        <v>1171620.0233857334</v>
      </c>
      <c r="IX20" s="753">
        <f t="shared" si="96"/>
        <v>31263747.186074197</v>
      </c>
      <c r="IY20" s="633">
        <f t="shared" si="97"/>
        <v>5.7401225783261243</v>
      </c>
      <c r="IZ20" s="633">
        <f t="shared" si="98"/>
        <v>7.2401225783261243</v>
      </c>
      <c r="JA20" s="753">
        <f t="shared" si="99"/>
        <v>32435367.209459934</v>
      </c>
      <c r="JB20" s="352">
        <f t="shared" si="100"/>
        <v>0.21511342167387593</v>
      </c>
      <c r="JF20" s="727">
        <f t="shared" si="115"/>
        <v>17</v>
      </c>
      <c r="JG20" s="746">
        <f t="shared" si="78"/>
        <v>17</v>
      </c>
      <c r="JH20" s="12" t="s">
        <v>420</v>
      </c>
      <c r="JI20" s="399">
        <v>544652954</v>
      </c>
      <c r="JJ20" s="747">
        <f t="shared" si="101"/>
        <v>5.7401225783261243</v>
      </c>
      <c r="JK20" s="747">
        <v>5.1680000000000001</v>
      </c>
      <c r="JL20" s="737">
        <f t="shared" si="117"/>
        <v>0.11070483326743896</v>
      </c>
      <c r="JM20" s="747">
        <f t="shared" si="102"/>
        <v>0.57212257832612412</v>
      </c>
      <c r="JN20" s="739">
        <v>10</v>
      </c>
    </row>
    <row r="21" spans="2:275" x14ac:dyDescent="0.3">
      <c r="I21" s="264">
        <f t="shared" si="103"/>
        <v>18</v>
      </c>
      <c r="J21" s="726">
        <f t="shared" si="1"/>
        <v>18</v>
      </c>
      <c r="K21" s="12" t="s">
        <v>421</v>
      </c>
      <c r="L21" s="399">
        <v>54041864</v>
      </c>
      <c r="M21" s="271">
        <f t="shared" si="2"/>
        <v>2.4164186542983412E-2</v>
      </c>
      <c r="N21" s="399">
        <v>346</v>
      </c>
      <c r="O21" s="399">
        <f t="shared" si="79"/>
        <v>156190.35838150288</v>
      </c>
      <c r="P21" s="271">
        <f t="shared" si="3"/>
        <v>8.4747274275581791E-2</v>
      </c>
      <c r="Q21" s="248" t="s">
        <v>385</v>
      </c>
      <c r="U21" s="727">
        <f t="shared" si="104"/>
        <v>18</v>
      </c>
      <c r="V21" s="728">
        <f t="shared" si="4"/>
        <v>18</v>
      </c>
      <c r="W21" s="12" t="s">
        <v>421</v>
      </c>
      <c r="X21" s="273">
        <f t="shared" si="80"/>
        <v>5912868.0182827041</v>
      </c>
      <c r="Y21" s="271">
        <f t="shared" si="5"/>
        <v>5.7086071662118425E-2</v>
      </c>
      <c r="AC21" s="727">
        <f t="shared" si="105"/>
        <v>18</v>
      </c>
      <c r="AD21" s="68">
        <v>18</v>
      </c>
      <c r="AE21" s="275" t="s">
        <v>421</v>
      </c>
      <c r="AF21" s="301">
        <v>7.72</v>
      </c>
      <c r="AP21" s="727">
        <f t="shared" si="81"/>
        <v>18</v>
      </c>
      <c r="AQ21" s="733">
        <f t="shared" si="6"/>
        <v>18</v>
      </c>
      <c r="AR21" s="12" t="s">
        <v>421</v>
      </c>
      <c r="AS21" s="12">
        <f t="shared" si="7"/>
        <v>7.72</v>
      </c>
      <c r="AT21" s="734">
        <v>54041864</v>
      </c>
      <c r="AU21" s="734">
        <f>AT21*AS21/3600</f>
        <v>115889.77502222222</v>
      </c>
      <c r="AV21" s="735">
        <f t="shared" si="8"/>
        <v>114177.82683606868</v>
      </c>
      <c r="AW21" s="736">
        <f t="shared" si="9"/>
        <v>21.544156020912027</v>
      </c>
      <c r="AX21" s="273">
        <f t="shared" si="116"/>
        <v>2459864.9154849397</v>
      </c>
      <c r="AY21" s="271">
        <f t="shared" si="10"/>
        <v>5.4354949901213818E-2</v>
      </c>
      <c r="AZ21" s="269">
        <f t="shared" si="11"/>
        <v>4.5517770000000004</v>
      </c>
      <c r="BK21" s="264">
        <f t="shared" si="107"/>
        <v>18</v>
      </c>
      <c r="BL21" s="248">
        <f t="shared" si="12"/>
        <v>18</v>
      </c>
      <c r="BM21" s="12" t="s">
        <v>421</v>
      </c>
      <c r="BN21" s="271">
        <f t="shared" si="13"/>
        <v>5.4354949901213818E-2</v>
      </c>
      <c r="BO21" s="273">
        <f t="shared" si="14"/>
        <v>503716.5300458062</v>
      </c>
      <c r="BP21" s="271">
        <f t="shared" si="15"/>
        <v>2.4164186542983412E-2</v>
      </c>
      <c r="BQ21" s="273">
        <f t="shared" si="16"/>
        <v>223933.61081065692</v>
      </c>
      <c r="BR21" s="464">
        <f t="shared" si="17"/>
        <v>727650.14085646311</v>
      </c>
      <c r="BS21" s="269">
        <f t="shared" si="18"/>
        <v>1.3464560000000001</v>
      </c>
      <c r="BV21" s="15"/>
      <c r="BW21" s="205"/>
      <c r="BX21" s="205"/>
      <c r="BY21" s="205"/>
      <c r="BZ21" s="205"/>
      <c r="CA21" s="205"/>
      <c r="CB21" s="205"/>
      <c r="CC21" s="205"/>
      <c r="CD21" s="205"/>
      <c r="CH21" s="264">
        <f t="shared" si="108"/>
        <v>18</v>
      </c>
      <c r="CI21" s="68">
        <f t="shared" si="20"/>
        <v>18</v>
      </c>
      <c r="CJ21" s="12" t="s">
        <v>421</v>
      </c>
      <c r="CK21" s="271">
        <f t="shared" si="21"/>
        <v>2.4164186542983412E-2</v>
      </c>
      <c r="CL21" s="273">
        <f t="shared" si="22"/>
        <v>151670.12829925554</v>
      </c>
      <c r="CM21" s="271">
        <f t="shared" si="23"/>
        <v>8.4747274275581791E-2</v>
      </c>
      <c r="CN21" s="273">
        <f t="shared" si="24"/>
        <v>1773783.3620878665</v>
      </c>
      <c r="CO21" s="273">
        <f t="shared" si="25"/>
        <v>1925453.4903871221</v>
      </c>
      <c r="CP21" s="271">
        <f t="shared" si="26"/>
        <v>7.0770726863402328E-2</v>
      </c>
      <c r="CQ21" s="269">
        <f t="shared" si="27"/>
        <v>3.5628920000000002</v>
      </c>
      <c r="DD21" s="15"/>
      <c r="DG21" s="727">
        <f t="shared" si="109"/>
        <v>18</v>
      </c>
      <c r="DH21" s="740">
        <f t="shared" si="29"/>
        <v>18</v>
      </c>
      <c r="DI21" s="12" t="s">
        <v>421</v>
      </c>
      <c r="DJ21" s="271">
        <f t="shared" si="30"/>
        <v>7.0770726863402328E-2</v>
      </c>
      <c r="DK21" s="273">
        <f t="shared" si="31"/>
        <v>22260.035487665944</v>
      </c>
      <c r="DL21" s="271">
        <f t="shared" si="32"/>
        <v>8.4747274275581791E-2</v>
      </c>
      <c r="DM21" s="273">
        <f t="shared" si="33"/>
        <v>300585.04925133893</v>
      </c>
      <c r="DN21" s="271">
        <f t="shared" si="34"/>
        <v>2.4164186542983412E-2</v>
      </c>
      <c r="DO21" s="273">
        <f t="shared" si="35"/>
        <v>104474.87868881377</v>
      </c>
      <c r="DP21" s="273">
        <f t="shared" si="82"/>
        <v>427319.96342781867</v>
      </c>
      <c r="DQ21" s="271">
        <f t="shared" si="36"/>
        <v>5.2208204198839342E-2</v>
      </c>
      <c r="DR21" s="269">
        <f t="shared" si="37"/>
        <v>0.79071999999999998</v>
      </c>
      <c r="DV21" s="727">
        <f t="shared" si="110"/>
        <v>18</v>
      </c>
      <c r="DW21" s="740">
        <f t="shared" si="38"/>
        <v>18</v>
      </c>
      <c r="DX21" s="12" t="s">
        <v>421</v>
      </c>
      <c r="DY21" s="271">
        <f t="shared" si="39"/>
        <v>8.4747274275581791E-2</v>
      </c>
      <c r="DZ21" s="273">
        <f t="shared" si="40"/>
        <v>372579.50812636013</v>
      </c>
      <c r="EA21" s="269">
        <f t="shared" si="41"/>
        <v>0.68942800000000004</v>
      </c>
      <c r="EM21" s="727">
        <f t="shared" si="111"/>
        <v>18</v>
      </c>
      <c r="EN21" s="740">
        <f t="shared" si="42"/>
        <v>18</v>
      </c>
      <c r="EO21" s="12" t="s">
        <v>421</v>
      </c>
      <c r="EP21" s="271">
        <f t="shared" si="43"/>
        <v>5.7086071662118425E-2</v>
      </c>
      <c r="EQ21" s="273">
        <f t="shared" si="44"/>
        <v>474980.54894544283</v>
      </c>
      <c r="ER21" s="271">
        <f t="shared" si="45"/>
        <v>7.0770726863402328E-2</v>
      </c>
      <c r="ES21" s="273">
        <f t="shared" si="46"/>
        <v>77306.073439730695</v>
      </c>
      <c r="ET21" s="271">
        <f t="shared" si="47"/>
        <v>2.4164186542983412E-2</v>
      </c>
      <c r="EU21" s="273">
        <f t="shared" si="48"/>
        <v>132362.50243076446</v>
      </c>
      <c r="EV21" s="273">
        <f t="shared" si="49"/>
        <v>684649.12481593806</v>
      </c>
      <c r="EW21" s="271">
        <f t="shared" si="50"/>
        <v>4.5979215854830655E-2</v>
      </c>
      <c r="EX21" s="269">
        <f t="shared" si="51"/>
        <v>1.2668870000000001</v>
      </c>
      <c r="FH21" s="727">
        <f t="shared" si="112"/>
        <v>18</v>
      </c>
      <c r="FI21" s="728">
        <f t="shared" si="52"/>
        <v>18</v>
      </c>
      <c r="FJ21" s="12" t="s">
        <v>421</v>
      </c>
      <c r="FK21" s="271">
        <f t="shared" si="53"/>
        <v>5.7086071662118425E-2</v>
      </c>
      <c r="FL21" s="273">
        <f t="shared" si="54"/>
        <v>1295201.1735492812</v>
      </c>
      <c r="FM21" s="269">
        <f t="shared" si="55"/>
        <v>2.3966630000000002</v>
      </c>
      <c r="FQ21" s="264">
        <f t="shared" si="83"/>
        <v>18</v>
      </c>
      <c r="FR21" s="728">
        <v>18</v>
      </c>
      <c r="FS21" s="12" t="s">
        <v>421</v>
      </c>
      <c r="FT21" s="273">
        <f t="shared" si="84"/>
        <v>2459864.9154849397</v>
      </c>
      <c r="FU21" s="273">
        <f t="shared" si="56"/>
        <v>727650.14085646311</v>
      </c>
      <c r="FV21" s="273">
        <f t="shared" si="57"/>
        <v>1925453.4903871221</v>
      </c>
      <c r="FW21" s="273">
        <f t="shared" si="58"/>
        <v>427319.96342781867</v>
      </c>
      <c r="FX21" s="273">
        <f t="shared" si="59"/>
        <v>372579.50812636013</v>
      </c>
      <c r="FY21" s="273">
        <f t="shared" si="60"/>
        <v>684649.12481593806</v>
      </c>
      <c r="FZ21" s="273">
        <f t="shared" si="61"/>
        <v>1295201.1735492812</v>
      </c>
      <c r="GA21" s="273">
        <f t="shared" si="62"/>
        <v>7892718.3166479236</v>
      </c>
      <c r="GB21" s="352">
        <f t="shared" si="63"/>
        <v>14.604823</v>
      </c>
      <c r="GF21" s="727">
        <f t="shared" si="85"/>
        <v>18</v>
      </c>
      <c r="GG21" s="728">
        <f t="shared" si="64"/>
        <v>18</v>
      </c>
      <c r="GH21" s="12" t="s">
        <v>421</v>
      </c>
      <c r="GI21" s="269">
        <f t="shared" si="86"/>
        <v>4.5517770000000004</v>
      </c>
      <c r="GJ21" s="269">
        <f t="shared" si="65"/>
        <v>1.3464560000000001</v>
      </c>
      <c r="GK21" s="269">
        <f t="shared" si="66"/>
        <v>3.5628920000000002</v>
      </c>
      <c r="GL21" s="269">
        <f t="shared" si="67"/>
        <v>0.79071999999999998</v>
      </c>
      <c r="GM21" s="269">
        <f t="shared" si="68"/>
        <v>0.68942800000000004</v>
      </c>
      <c r="GN21" s="269">
        <f t="shared" si="69"/>
        <v>1.2668870000000001</v>
      </c>
      <c r="GO21" s="269">
        <f t="shared" si="70"/>
        <v>2.3966630000000002</v>
      </c>
      <c r="GP21" s="269">
        <f t="shared" si="71"/>
        <v>14.604823</v>
      </c>
      <c r="GQ21" s="399">
        <v>54041864</v>
      </c>
      <c r="GR21" s="708"/>
      <c r="GU21" s="264">
        <f t="shared" si="87"/>
        <v>18</v>
      </c>
      <c r="GV21" s="728">
        <f t="shared" si="72"/>
        <v>18</v>
      </c>
      <c r="GW21" s="12" t="s">
        <v>421</v>
      </c>
      <c r="GX21" s="248" t="s">
        <v>385</v>
      </c>
      <c r="GY21" s="273">
        <f t="shared" si="73"/>
        <v>7892718.3166479236</v>
      </c>
      <c r="GZ21" s="399">
        <f t="shared" si="74"/>
        <v>54041864</v>
      </c>
      <c r="HA21" s="352">
        <f t="shared" si="88"/>
        <v>14.604823</v>
      </c>
      <c r="HB21" s="273">
        <f t="shared" si="75"/>
        <v>7892718.5831007194</v>
      </c>
      <c r="HC21" s="742">
        <f t="shared" si="76"/>
        <v>0.26645279582589865</v>
      </c>
      <c r="HD21" s="743"/>
      <c r="HG21" s="743"/>
      <c r="HH21" s="743"/>
      <c r="HI21" s="743"/>
      <c r="HJ21" s="743"/>
      <c r="HK21" s="743"/>
      <c r="HL21" s="743"/>
      <c r="HM21" s="743"/>
      <c r="HP21" s="727">
        <f t="shared" si="113"/>
        <v>18</v>
      </c>
      <c r="HQ21" s="746">
        <f t="shared" si="77"/>
        <v>18</v>
      </c>
      <c r="HR21" s="12" t="s">
        <v>421</v>
      </c>
      <c r="HS21" s="399">
        <v>54041864</v>
      </c>
      <c r="HT21" s="747">
        <f t="shared" si="89"/>
        <v>14.604823</v>
      </c>
      <c r="HU21" s="747">
        <v>14.989000000000001</v>
      </c>
      <c r="HV21" s="737">
        <f t="shared" si="90"/>
        <v>-2.5630595770231523E-2</v>
      </c>
      <c r="HW21" s="747">
        <f t="shared" si="91"/>
        <v>-0.3841770000000011</v>
      </c>
      <c r="HX21" s="739">
        <v>25</v>
      </c>
      <c r="IO21" s="727">
        <f t="shared" si="114"/>
        <v>18</v>
      </c>
      <c r="IP21" s="746">
        <v>18</v>
      </c>
      <c r="IQ21" s="12" t="s">
        <v>421</v>
      </c>
      <c r="IR21" s="753">
        <f t="shared" si="92"/>
        <v>7892718.3166479236</v>
      </c>
      <c r="IS21" s="754">
        <f t="shared" si="92"/>
        <v>54041864</v>
      </c>
      <c r="IT21" s="755">
        <f t="shared" si="92"/>
        <v>14.604823</v>
      </c>
      <c r="IU21" s="399">
        <f t="shared" si="93"/>
        <v>7750076.3863770552</v>
      </c>
      <c r="IV21" s="399">
        <f t="shared" si="94"/>
        <v>46291787.613622949</v>
      </c>
      <c r="IW21" s="753">
        <f t="shared" si="95"/>
        <v>116251.14579565583</v>
      </c>
      <c r="IX21" s="753">
        <f t="shared" si="96"/>
        <v>7776467.1708522681</v>
      </c>
      <c r="IY21" s="633">
        <f t="shared" si="97"/>
        <v>14.389709375776283</v>
      </c>
      <c r="IZ21" s="633">
        <f t="shared" si="98"/>
        <v>15.889709375776283</v>
      </c>
      <c r="JA21" s="753">
        <f t="shared" si="99"/>
        <v>7892718.3166479245</v>
      </c>
      <c r="JB21" s="352">
        <f t="shared" si="100"/>
        <v>0.21511362422371683</v>
      </c>
      <c r="JF21" s="727">
        <f t="shared" si="115"/>
        <v>18</v>
      </c>
      <c r="JG21" s="746">
        <f t="shared" si="78"/>
        <v>18</v>
      </c>
      <c r="JH21" s="12" t="s">
        <v>421</v>
      </c>
      <c r="JI21" s="399">
        <v>54041864</v>
      </c>
      <c r="JJ21" s="747">
        <f t="shared" si="101"/>
        <v>14.389709375776283</v>
      </c>
      <c r="JK21" s="747">
        <v>14.77</v>
      </c>
      <c r="JL21" s="737">
        <f t="shared" si="117"/>
        <v>-2.5747503332682276E-2</v>
      </c>
      <c r="JM21" s="747">
        <f t="shared" si="102"/>
        <v>-0.38029062422371673</v>
      </c>
      <c r="JN21" s="739">
        <v>25</v>
      </c>
    </row>
    <row r="22" spans="2:275" x14ac:dyDescent="0.3">
      <c r="I22" s="264">
        <f t="shared" si="103"/>
        <v>19</v>
      </c>
      <c r="J22" s="726">
        <f t="shared" si="1"/>
        <v>19</v>
      </c>
      <c r="K22" s="12" t="s">
        <v>422</v>
      </c>
      <c r="L22" s="399">
        <v>1445</v>
      </c>
      <c r="M22" s="271">
        <f t="shared" si="2"/>
        <v>6.4611482599140234E-7</v>
      </c>
      <c r="N22" s="399">
        <v>46</v>
      </c>
      <c r="O22" s="399">
        <f t="shared" si="79"/>
        <v>31.413043478260871</v>
      </c>
      <c r="P22" s="271">
        <f t="shared" si="3"/>
        <v>1.7044392746577002E-5</v>
      </c>
      <c r="Q22" s="248" t="s">
        <v>385</v>
      </c>
      <c r="U22" s="727">
        <f t="shared" si="104"/>
        <v>19</v>
      </c>
      <c r="V22" s="728">
        <f t="shared" si="4"/>
        <v>19</v>
      </c>
      <c r="W22" s="12" t="s">
        <v>422</v>
      </c>
      <c r="X22" s="273">
        <f t="shared" si="80"/>
        <v>1855.3255297953183</v>
      </c>
      <c r="Y22" s="271">
        <f t="shared" si="5"/>
        <v>1.7912330500692309E-5</v>
      </c>
      <c r="AC22" s="727">
        <f t="shared" si="105"/>
        <v>19</v>
      </c>
      <c r="AD22" s="68">
        <v>19</v>
      </c>
      <c r="AE22" s="275" t="s">
        <v>422</v>
      </c>
      <c r="AF22" s="301">
        <v>131.15</v>
      </c>
      <c r="AP22" s="727">
        <f t="shared" si="81"/>
        <v>19</v>
      </c>
      <c r="AQ22" s="733">
        <f t="shared" si="6"/>
        <v>19</v>
      </c>
      <c r="AR22" s="12" t="s">
        <v>422</v>
      </c>
      <c r="AS22" s="12">
        <f t="shared" si="7"/>
        <v>131.15</v>
      </c>
      <c r="AT22" s="734">
        <v>1445</v>
      </c>
      <c r="AU22" s="734">
        <f t="shared" si="106"/>
        <v>52.642152777777781</v>
      </c>
      <c r="AV22" s="735">
        <f t="shared" si="8"/>
        <v>51.864511799996492</v>
      </c>
      <c r="AW22" s="736">
        <f t="shared" si="9"/>
        <v>21.544156020912027</v>
      </c>
      <c r="AX22" s="273">
        <f t="shared" si="116"/>
        <v>1117.3771341675572</v>
      </c>
      <c r="AY22" s="271">
        <f t="shared" si="10"/>
        <v>2.4690371315152524E-5</v>
      </c>
      <c r="AZ22" s="269">
        <f t="shared" si="11"/>
        <v>77.327136999999993</v>
      </c>
      <c r="BK22" s="264">
        <f t="shared" si="107"/>
        <v>19</v>
      </c>
      <c r="BL22" s="248">
        <f t="shared" si="12"/>
        <v>19</v>
      </c>
      <c r="BM22" s="12" t="s">
        <v>422</v>
      </c>
      <c r="BN22" s="271">
        <f t="shared" si="13"/>
        <v>2.4690371315152524E-5</v>
      </c>
      <c r="BO22" s="273">
        <f t="shared" si="14"/>
        <v>228.80985424537027</v>
      </c>
      <c r="BP22" s="271">
        <f t="shared" si="15"/>
        <v>6.4611482599140234E-7</v>
      </c>
      <c r="BQ22" s="273">
        <f t="shared" si="16"/>
        <v>5.9876555631278601</v>
      </c>
      <c r="BR22" s="464">
        <f t="shared" si="17"/>
        <v>234.79750980849815</v>
      </c>
      <c r="BS22" s="269">
        <f t="shared" si="18"/>
        <v>16.248963</v>
      </c>
      <c r="BV22" s="15"/>
      <c r="BW22" s="205"/>
      <c r="BX22" s="205"/>
      <c r="BY22" s="205"/>
      <c r="BZ22" s="205"/>
      <c r="CA22" s="205"/>
      <c r="CB22" s="205"/>
      <c r="CC22" s="205"/>
      <c r="CD22" s="205"/>
      <c r="CH22" s="264">
        <f t="shared" si="108"/>
        <v>19</v>
      </c>
      <c r="CI22" s="68">
        <f t="shared" si="20"/>
        <v>19</v>
      </c>
      <c r="CJ22" s="12" t="s">
        <v>422</v>
      </c>
      <c r="CK22" s="271">
        <f t="shared" si="21"/>
        <v>6.4611482599140234E-7</v>
      </c>
      <c r="CL22" s="273">
        <f t="shared" si="22"/>
        <v>4.0554362705258322</v>
      </c>
      <c r="CM22" s="271">
        <f t="shared" si="23"/>
        <v>1.7044392746577002E-5</v>
      </c>
      <c r="CN22" s="273">
        <f t="shared" si="24"/>
        <v>356.74374815238684</v>
      </c>
      <c r="CO22" s="273">
        <f t="shared" si="25"/>
        <v>360.79918442291267</v>
      </c>
      <c r="CP22" s="271">
        <f t="shared" si="26"/>
        <v>1.3261302161185174E-5</v>
      </c>
      <c r="CQ22" s="269">
        <f t="shared" si="27"/>
        <v>24.968802</v>
      </c>
      <c r="DD22" s="15"/>
      <c r="DG22" s="727">
        <f t="shared" si="109"/>
        <v>19</v>
      </c>
      <c r="DH22" s="740">
        <f t="shared" si="29"/>
        <v>19</v>
      </c>
      <c r="DI22" s="12" t="s">
        <v>422</v>
      </c>
      <c r="DJ22" s="271">
        <f t="shared" si="30"/>
        <v>1.3261302161185174E-5</v>
      </c>
      <c r="DK22" s="273">
        <f t="shared" si="31"/>
        <v>4.1711745774551083</v>
      </c>
      <c r="DL22" s="271">
        <f t="shared" si="32"/>
        <v>1.7044392746577002E-5</v>
      </c>
      <c r="DM22" s="273">
        <f t="shared" si="33"/>
        <v>60.453739391417621</v>
      </c>
      <c r="DN22" s="271">
        <f t="shared" si="34"/>
        <v>6.4611482599140234E-7</v>
      </c>
      <c r="DO22" s="273">
        <f t="shared" si="35"/>
        <v>2.7935046745488994</v>
      </c>
      <c r="DP22" s="273">
        <f t="shared" si="82"/>
        <v>67.418418643421631</v>
      </c>
      <c r="DQ22" s="271">
        <f t="shared" si="36"/>
        <v>8.2369064601240996E-6</v>
      </c>
      <c r="DR22" s="269">
        <f t="shared" si="37"/>
        <v>4.665635</v>
      </c>
      <c r="DV22" s="727">
        <f t="shared" si="110"/>
        <v>19</v>
      </c>
      <c r="DW22" s="740">
        <f t="shared" si="38"/>
        <v>19</v>
      </c>
      <c r="DX22" s="12" t="s">
        <v>422</v>
      </c>
      <c r="DY22" s="271">
        <f t="shared" si="39"/>
        <v>1.7044392746577002E-5</v>
      </c>
      <c r="DZ22" s="273">
        <f t="shared" si="40"/>
        <v>74.933282752928562</v>
      </c>
      <c r="EA22" s="269">
        <f t="shared" si="41"/>
        <v>5.1856939999999998</v>
      </c>
      <c r="EM22" s="727">
        <f t="shared" si="111"/>
        <v>19</v>
      </c>
      <c r="EN22" s="740">
        <f t="shared" si="42"/>
        <v>19</v>
      </c>
      <c r="EO22" s="12" t="s">
        <v>422</v>
      </c>
      <c r="EP22" s="271">
        <f t="shared" si="43"/>
        <v>1.7912330500692309E-5</v>
      </c>
      <c r="EQ22" s="273">
        <f t="shared" si="44"/>
        <v>149.03825620491654</v>
      </c>
      <c r="ER22" s="271">
        <f t="shared" si="45"/>
        <v>1.3261302161185174E-5</v>
      </c>
      <c r="ES22" s="273">
        <f t="shared" si="46"/>
        <v>14.485921569772536</v>
      </c>
      <c r="ET22" s="271">
        <f t="shared" si="47"/>
        <v>6.4611482599140234E-7</v>
      </c>
      <c r="EU22" s="273">
        <f t="shared" si="48"/>
        <v>3.5391787376626134</v>
      </c>
      <c r="EV22" s="273">
        <f t="shared" si="49"/>
        <v>167.06335651235167</v>
      </c>
      <c r="EW22" s="271">
        <f t="shared" si="50"/>
        <v>1.1219531073787664E-5</v>
      </c>
      <c r="EX22" s="269">
        <f t="shared" si="51"/>
        <v>11.561477999999999</v>
      </c>
      <c r="FH22" s="727">
        <f t="shared" si="112"/>
        <v>19</v>
      </c>
      <c r="FI22" s="728">
        <f t="shared" si="52"/>
        <v>19</v>
      </c>
      <c r="FJ22" s="12" t="s">
        <v>422</v>
      </c>
      <c r="FK22" s="271">
        <f t="shared" si="53"/>
        <v>1.7912330500692309E-5</v>
      </c>
      <c r="FL22" s="273">
        <f t="shared" si="54"/>
        <v>406.40511441768251</v>
      </c>
      <c r="FM22" s="269">
        <f t="shared" si="55"/>
        <v>28.124921000000001</v>
      </c>
      <c r="FQ22" s="264">
        <f t="shared" si="83"/>
        <v>19</v>
      </c>
      <c r="FR22" s="728">
        <v>19</v>
      </c>
      <c r="FS22" s="12" t="s">
        <v>422</v>
      </c>
      <c r="FT22" s="273">
        <f t="shared" si="84"/>
        <v>1117.3771341675572</v>
      </c>
      <c r="FU22" s="273">
        <f t="shared" si="56"/>
        <v>234.79750980849815</v>
      </c>
      <c r="FV22" s="273">
        <f t="shared" si="57"/>
        <v>360.79918442291267</v>
      </c>
      <c r="FW22" s="273">
        <f t="shared" si="58"/>
        <v>67.418418643421631</v>
      </c>
      <c r="FX22" s="273">
        <f t="shared" si="59"/>
        <v>74.933282752928562</v>
      </c>
      <c r="FY22" s="273">
        <f t="shared" si="60"/>
        <v>167.06335651235167</v>
      </c>
      <c r="FZ22" s="273">
        <f t="shared" si="61"/>
        <v>406.40511441768251</v>
      </c>
      <c r="GA22" s="273">
        <f t="shared" si="62"/>
        <v>2428.7940007253524</v>
      </c>
      <c r="GB22" s="352">
        <f t="shared" si="63"/>
        <v>168.08262999999999</v>
      </c>
      <c r="GF22" s="727">
        <f t="shared" si="85"/>
        <v>19</v>
      </c>
      <c r="GG22" s="728">
        <f t="shared" si="64"/>
        <v>19</v>
      </c>
      <c r="GH22" s="12" t="s">
        <v>422</v>
      </c>
      <c r="GI22" s="269">
        <f t="shared" si="86"/>
        <v>77.327136999999993</v>
      </c>
      <c r="GJ22" s="269">
        <f t="shared" si="65"/>
        <v>16.248963</v>
      </c>
      <c r="GK22" s="269">
        <f t="shared" si="66"/>
        <v>24.968802</v>
      </c>
      <c r="GL22" s="269">
        <f t="shared" si="67"/>
        <v>4.665635</v>
      </c>
      <c r="GM22" s="269">
        <f t="shared" si="68"/>
        <v>5.1856939999999998</v>
      </c>
      <c r="GN22" s="269">
        <f t="shared" si="69"/>
        <v>11.561477999999999</v>
      </c>
      <c r="GO22" s="269">
        <f t="shared" si="70"/>
        <v>28.124921000000001</v>
      </c>
      <c r="GP22" s="269">
        <f t="shared" si="71"/>
        <v>168.08262999999999</v>
      </c>
      <c r="GQ22" s="399">
        <v>1445</v>
      </c>
      <c r="GR22" s="708"/>
      <c r="GU22" s="264">
        <f t="shared" si="87"/>
        <v>19</v>
      </c>
      <c r="GV22" s="728">
        <f t="shared" si="72"/>
        <v>19</v>
      </c>
      <c r="GW22" s="12" t="s">
        <v>422</v>
      </c>
      <c r="GX22" s="248" t="s">
        <v>385</v>
      </c>
      <c r="GY22" s="273">
        <f t="shared" si="73"/>
        <v>2428.7940007253524</v>
      </c>
      <c r="GZ22" s="399">
        <f t="shared" si="74"/>
        <v>1445</v>
      </c>
      <c r="HA22" s="352">
        <f t="shared" si="88"/>
        <v>168.08262999999999</v>
      </c>
      <c r="HB22" s="273">
        <f t="shared" si="75"/>
        <v>2428.7940034999997</v>
      </c>
      <c r="HC22" s="742">
        <f t="shared" si="76"/>
        <v>2.7746473278966732E-6</v>
      </c>
      <c r="HD22" s="743"/>
      <c r="HG22" s="743"/>
      <c r="HH22" s="743"/>
      <c r="HI22" s="743"/>
      <c r="HJ22" s="743"/>
      <c r="HK22" s="743"/>
      <c r="HL22" s="743"/>
      <c r="HM22" s="743"/>
      <c r="HP22" s="727">
        <f t="shared" si="113"/>
        <v>19</v>
      </c>
      <c r="HQ22" s="746">
        <f t="shared" si="77"/>
        <v>19</v>
      </c>
      <c r="HR22" s="12" t="s">
        <v>422</v>
      </c>
      <c r="HS22" s="399">
        <v>1445</v>
      </c>
      <c r="HT22" s="747">
        <f t="shared" si="89"/>
        <v>168.08262999999999</v>
      </c>
      <c r="HU22" s="747">
        <v>205.898</v>
      </c>
      <c r="HV22" s="737">
        <f t="shared" si="90"/>
        <v>-0.18366069607281277</v>
      </c>
      <c r="HW22" s="747">
        <f t="shared" si="91"/>
        <v>-37.815370000000001</v>
      </c>
      <c r="HX22" s="739">
        <v>10</v>
      </c>
      <c r="IO22" s="727">
        <f t="shared" si="114"/>
        <v>19</v>
      </c>
      <c r="IP22" s="746">
        <v>19</v>
      </c>
      <c r="IQ22" s="12" t="s">
        <v>422</v>
      </c>
      <c r="IR22" s="753">
        <f t="shared" si="92"/>
        <v>2428.7940007253524</v>
      </c>
      <c r="IS22" s="754">
        <f t="shared" si="92"/>
        <v>1445</v>
      </c>
      <c r="IT22" s="755">
        <f t="shared" si="92"/>
        <v>168.08262999999999</v>
      </c>
      <c r="IU22" s="399">
        <f t="shared" si="93"/>
        <v>207.225649698442</v>
      </c>
      <c r="IV22" s="399">
        <f t="shared" si="94"/>
        <v>1237.7743503015581</v>
      </c>
      <c r="IW22" s="753">
        <f t="shared" si="95"/>
        <v>3.1083847454766298</v>
      </c>
      <c r="IX22" s="753">
        <f t="shared" si="96"/>
        <v>2425.6856159798758</v>
      </c>
      <c r="IY22" s="633">
        <f t="shared" si="97"/>
        <v>167.86751667680801</v>
      </c>
      <c r="IZ22" s="633">
        <f>IY22+1.5</f>
        <v>169.36751667680801</v>
      </c>
      <c r="JA22" s="753">
        <f t="shared" si="99"/>
        <v>2428.7940007253528</v>
      </c>
      <c r="JB22" s="352">
        <f t="shared" si="100"/>
        <v>0.21511332319198573</v>
      </c>
      <c r="JF22" s="727">
        <f t="shared" si="115"/>
        <v>19</v>
      </c>
      <c r="JG22" s="746">
        <f t="shared" si="78"/>
        <v>19</v>
      </c>
      <c r="JH22" s="12" t="s">
        <v>422</v>
      </c>
      <c r="JI22" s="399">
        <v>1445</v>
      </c>
      <c r="JJ22" s="747">
        <f t="shared" si="101"/>
        <v>167.86751667680801</v>
      </c>
      <c r="JK22" s="747">
        <v>205.679</v>
      </c>
      <c r="JL22" s="737">
        <f t="shared" si="117"/>
        <v>-0.18383735492292352</v>
      </c>
      <c r="JM22" s="747">
        <f t="shared" si="102"/>
        <v>-37.811483323191993</v>
      </c>
      <c r="JN22" s="739">
        <v>10</v>
      </c>
    </row>
    <row r="23" spans="2:275" x14ac:dyDescent="0.3">
      <c r="I23" s="264">
        <f t="shared" si="103"/>
        <v>20</v>
      </c>
      <c r="J23" s="726">
        <f t="shared" si="1"/>
        <v>20</v>
      </c>
      <c r="K23" s="12" t="s">
        <v>423</v>
      </c>
      <c r="L23" s="399">
        <v>594324</v>
      </c>
      <c r="M23" s="271">
        <f t="shared" si="2"/>
        <v>2.6574501580796828E-4</v>
      </c>
      <c r="N23" s="399">
        <v>729.6</v>
      </c>
      <c r="O23" s="399">
        <f t="shared" si="79"/>
        <v>814.58881578947364</v>
      </c>
      <c r="P23" s="271">
        <f t="shared" si="3"/>
        <v>4.4198747290733788E-4</v>
      </c>
      <c r="Q23" s="248" t="s">
        <v>389</v>
      </c>
      <c r="U23" s="727">
        <f t="shared" si="104"/>
        <v>20</v>
      </c>
      <c r="V23" s="728">
        <f t="shared" si="4"/>
        <v>20</v>
      </c>
      <c r="W23" s="12" t="s">
        <v>423</v>
      </c>
      <c r="X23" s="273">
        <f t="shared" si="80"/>
        <v>34674.639729703864</v>
      </c>
      <c r="Y23" s="271">
        <f t="shared" si="5"/>
        <v>3.3476799454132058E-4</v>
      </c>
      <c r="AC23" s="727">
        <f t="shared" si="105"/>
        <v>20</v>
      </c>
      <c r="AD23" s="68">
        <v>20</v>
      </c>
      <c r="AE23" s="275" t="s">
        <v>423</v>
      </c>
      <c r="AF23" s="301">
        <v>3.91</v>
      </c>
      <c r="AP23" s="727">
        <f t="shared" si="81"/>
        <v>20</v>
      </c>
      <c r="AQ23" s="733">
        <f t="shared" si="6"/>
        <v>20</v>
      </c>
      <c r="AR23" s="12" t="s">
        <v>423</v>
      </c>
      <c r="AS23" s="12">
        <f t="shared" si="7"/>
        <v>3.91</v>
      </c>
      <c r="AT23" s="734">
        <v>594324</v>
      </c>
      <c r="AU23" s="734">
        <f t="shared" si="106"/>
        <v>645.50190000000009</v>
      </c>
      <c r="AV23" s="735">
        <f t="shared" si="8"/>
        <v>635.96640986161844</v>
      </c>
      <c r="AW23" s="736">
        <f t="shared" si="9"/>
        <v>21.544156020912027</v>
      </c>
      <c r="AX23" s="273">
        <f t="shared" si="116"/>
        <v>13701.359558117992</v>
      </c>
      <c r="AY23" s="271">
        <f t="shared" si="10"/>
        <v>3.0275512597129859E-4</v>
      </c>
      <c r="AZ23" s="269">
        <f t="shared" si="11"/>
        <v>2.3053689999999998</v>
      </c>
      <c r="BK23" s="264">
        <f t="shared" si="107"/>
        <v>20</v>
      </c>
      <c r="BL23" s="248">
        <f t="shared" si="12"/>
        <v>20</v>
      </c>
      <c r="BM23" s="12" t="s">
        <v>423</v>
      </c>
      <c r="BN23" s="271">
        <f t="shared" si="13"/>
        <v>3.0275512597129859E-4</v>
      </c>
      <c r="BO23" s="273">
        <f t="shared" si="14"/>
        <v>2805.6830479101936</v>
      </c>
      <c r="BP23" s="271">
        <f t="shared" si="15"/>
        <v>2.6574501580796828E-4</v>
      </c>
      <c r="BQ23" s="273">
        <f t="shared" si="16"/>
        <v>2462.7040864362643</v>
      </c>
      <c r="BR23" s="464">
        <f t="shared" si="17"/>
        <v>5268.387134346458</v>
      </c>
      <c r="BS23" s="269">
        <f t="shared" si="18"/>
        <v>0.88644999999999996</v>
      </c>
      <c r="BV23" s="15"/>
      <c r="BW23" s="205"/>
      <c r="BX23" s="205"/>
      <c r="BY23" s="205"/>
      <c r="BZ23" s="205"/>
      <c r="CA23" s="205"/>
      <c r="CB23" s="205"/>
      <c r="CC23" s="205"/>
      <c r="CD23" s="205"/>
      <c r="CH23" s="264">
        <f t="shared" si="108"/>
        <v>20</v>
      </c>
      <c r="CI23" s="68">
        <f t="shared" si="20"/>
        <v>20</v>
      </c>
      <c r="CJ23" s="12" t="s">
        <v>423</v>
      </c>
      <c r="CK23" s="271">
        <f t="shared" si="21"/>
        <v>2.6574501580796828E-4</v>
      </c>
      <c r="CL23" s="273">
        <f t="shared" si="22"/>
        <v>1667.988308680965</v>
      </c>
      <c r="CM23" s="271">
        <f t="shared" si="23"/>
        <v>4.4198747290733788E-4</v>
      </c>
      <c r="CN23" s="273">
        <f t="shared" si="24"/>
        <v>9250.9172996515881</v>
      </c>
      <c r="CO23" s="273">
        <f t="shared" si="25"/>
        <v>10918.905608332552</v>
      </c>
      <c r="CP23" s="271">
        <f t="shared" si="26"/>
        <v>4.0132825348028109E-4</v>
      </c>
      <c r="CQ23" s="269">
        <f t="shared" si="27"/>
        <v>1.837197</v>
      </c>
      <c r="DD23" s="15"/>
      <c r="DG23" s="727">
        <f t="shared" si="109"/>
        <v>20</v>
      </c>
      <c r="DH23" s="740">
        <f t="shared" si="29"/>
        <v>20</v>
      </c>
      <c r="DI23" s="12" t="s">
        <v>423</v>
      </c>
      <c r="DJ23" s="271">
        <f t="shared" si="30"/>
        <v>4.0132825348028109E-4</v>
      </c>
      <c r="DK23" s="273">
        <f t="shared" si="31"/>
        <v>126.23271740471377</v>
      </c>
      <c r="DL23" s="271">
        <f t="shared" si="32"/>
        <v>4.4198747290733788E-4</v>
      </c>
      <c r="DM23" s="273">
        <f t="shared" si="33"/>
        <v>1567.6589890113601</v>
      </c>
      <c r="DN23" s="271">
        <f t="shared" si="34"/>
        <v>2.6574501580796828E-4</v>
      </c>
      <c r="DO23" s="273">
        <f t="shared" si="35"/>
        <v>1148.959773146436</v>
      </c>
      <c r="DP23" s="273">
        <f t="shared" si="82"/>
        <v>2842.8514795625097</v>
      </c>
      <c r="DQ23" s="271">
        <f t="shared" si="36"/>
        <v>3.4732795856621065E-4</v>
      </c>
      <c r="DR23" s="269">
        <f t="shared" si="37"/>
        <v>0.47833399999999998</v>
      </c>
      <c r="DV23" s="727">
        <f t="shared" si="110"/>
        <v>20</v>
      </c>
      <c r="DW23" s="740">
        <f t="shared" si="38"/>
        <v>20</v>
      </c>
      <c r="DX23" s="12" t="s">
        <v>423</v>
      </c>
      <c r="DY23" s="271">
        <f t="shared" si="39"/>
        <v>4.4198747290733788E-4</v>
      </c>
      <c r="DZ23" s="273">
        <f t="shared" si="40"/>
        <v>1943.1359493443526</v>
      </c>
      <c r="EA23" s="269">
        <f t="shared" si="41"/>
        <v>0.32694899999999999</v>
      </c>
      <c r="EM23" s="727">
        <f t="shared" si="111"/>
        <v>20</v>
      </c>
      <c r="EN23" s="740">
        <f t="shared" si="42"/>
        <v>20</v>
      </c>
      <c r="EO23" s="12" t="s">
        <v>423</v>
      </c>
      <c r="EP23" s="271">
        <f t="shared" si="43"/>
        <v>3.3476799454132058E-4</v>
      </c>
      <c r="EQ23" s="273">
        <f t="shared" si="44"/>
        <v>2785.4129945696945</v>
      </c>
      <c r="ER23" s="271">
        <f t="shared" si="45"/>
        <v>4.0132825348028109E-4</v>
      </c>
      <c r="ES23" s="273">
        <f t="shared" si="46"/>
        <v>438.38904603690719</v>
      </c>
      <c r="ET23" s="271">
        <f t="shared" si="47"/>
        <v>2.6574501580796828E-4</v>
      </c>
      <c r="EU23" s="273">
        <f t="shared" si="48"/>
        <v>1455.6531931367438</v>
      </c>
      <c r="EV23" s="273">
        <f t="shared" si="49"/>
        <v>4679.4552337433452</v>
      </c>
      <c r="EW23" s="271">
        <f t="shared" si="50"/>
        <v>3.1425977844219921E-4</v>
      </c>
      <c r="EX23" s="269">
        <f t="shared" si="51"/>
        <v>0.787358</v>
      </c>
      <c r="FH23" s="727">
        <f t="shared" si="112"/>
        <v>20</v>
      </c>
      <c r="FI23" s="728">
        <f t="shared" si="52"/>
        <v>20</v>
      </c>
      <c r="FJ23" s="12" t="s">
        <v>423</v>
      </c>
      <c r="FK23" s="271">
        <f t="shared" si="53"/>
        <v>3.3476799454132058E-4</v>
      </c>
      <c r="FL23" s="273">
        <f t="shared" si="54"/>
        <v>7595.4061432533936</v>
      </c>
      <c r="FM23" s="269">
        <f t="shared" si="55"/>
        <v>1.2779910000000001</v>
      </c>
      <c r="FQ23" s="264">
        <f t="shared" si="83"/>
        <v>20</v>
      </c>
      <c r="FR23" s="728">
        <v>20</v>
      </c>
      <c r="FS23" s="12" t="s">
        <v>423</v>
      </c>
      <c r="FT23" s="273">
        <f t="shared" si="84"/>
        <v>13701.359558117992</v>
      </c>
      <c r="FU23" s="273">
        <f t="shared" si="56"/>
        <v>5268.387134346458</v>
      </c>
      <c r="FV23" s="273">
        <f t="shared" si="57"/>
        <v>10918.905608332552</v>
      </c>
      <c r="FW23" s="273">
        <f t="shared" si="58"/>
        <v>2842.8514795625097</v>
      </c>
      <c r="FX23" s="273">
        <f t="shared" si="59"/>
        <v>1943.1359493443526</v>
      </c>
      <c r="FY23" s="273">
        <f t="shared" si="60"/>
        <v>4679.4552337433452</v>
      </c>
      <c r="FZ23" s="273">
        <f t="shared" si="61"/>
        <v>7595.4061432533936</v>
      </c>
      <c r="GA23" s="273">
        <f t="shared" si="62"/>
        <v>46949.501106700598</v>
      </c>
      <c r="GB23" s="352">
        <f t="shared" si="63"/>
        <v>7.899648</v>
      </c>
      <c r="GF23" s="727">
        <f t="shared" si="85"/>
        <v>20</v>
      </c>
      <c r="GG23" s="728">
        <f t="shared" si="64"/>
        <v>20</v>
      </c>
      <c r="GH23" s="12" t="s">
        <v>423</v>
      </c>
      <c r="GI23" s="269">
        <f t="shared" si="86"/>
        <v>2.3053689999999998</v>
      </c>
      <c r="GJ23" s="269">
        <f t="shared" si="65"/>
        <v>0.88644999999999996</v>
      </c>
      <c r="GK23" s="269">
        <f t="shared" si="66"/>
        <v>1.837197</v>
      </c>
      <c r="GL23" s="269">
        <f t="shared" si="67"/>
        <v>0.47833399999999998</v>
      </c>
      <c r="GM23" s="269">
        <f t="shared" si="68"/>
        <v>0.32694899999999999</v>
      </c>
      <c r="GN23" s="269">
        <f t="shared" si="69"/>
        <v>0.787358</v>
      </c>
      <c r="GO23" s="269">
        <f t="shared" si="70"/>
        <v>1.2779910000000001</v>
      </c>
      <c r="GP23" s="269">
        <f t="shared" si="71"/>
        <v>7.899648</v>
      </c>
      <c r="GQ23" s="399">
        <v>594324</v>
      </c>
      <c r="GR23" s="708"/>
      <c r="GU23" s="264">
        <f t="shared" si="87"/>
        <v>20</v>
      </c>
      <c r="GV23" s="728">
        <f t="shared" si="72"/>
        <v>20</v>
      </c>
      <c r="GW23" s="12" t="s">
        <v>423</v>
      </c>
      <c r="GX23" s="248" t="s">
        <v>389</v>
      </c>
      <c r="GY23" s="273">
        <f t="shared" si="73"/>
        <v>46949.501106700598</v>
      </c>
      <c r="GZ23" s="399">
        <f t="shared" si="74"/>
        <v>594324</v>
      </c>
      <c r="HA23" s="352">
        <f t="shared" si="88"/>
        <v>7.899648</v>
      </c>
      <c r="HB23" s="273">
        <f t="shared" si="75"/>
        <v>46949.503979519999</v>
      </c>
      <c r="HC23" s="742">
        <f t="shared" si="76"/>
        <v>2.8728194010909647E-3</v>
      </c>
      <c r="HD23" s="743"/>
      <c r="HG23" s="743"/>
      <c r="HH23" s="743"/>
      <c r="HI23" s="743"/>
      <c r="HJ23" s="743"/>
      <c r="HK23" s="743"/>
      <c r="HL23" s="743"/>
      <c r="HM23" s="743"/>
      <c r="HP23" s="727">
        <f t="shared" si="113"/>
        <v>20</v>
      </c>
      <c r="HQ23" s="746">
        <f t="shared" si="77"/>
        <v>20</v>
      </c>
      <c r="HR23" s="12" t="s">
        <v>423</v>
      </c>
      <c r="HS23" s="399">
        <v>594324</v>
      </c>
      <c r="HT23" s="747">
        <f t="shared" si="89"/>
        <v>7.899648</v>
      </c>
      <c r="HU23" s="747">
        <v>8.3000000000000007</v>
      </c>
      <c r="HV23" s="737">
        <f t="shared" si="90"/>
        <v>-4.823518072289168E-2</v>
      </c>
      <c r="HW23" s="747">
        <f t="shared" si="91"/>
        <v>-0.40035200000000071</v>
      </c>
      <c r="HX23" s="739">
        <v>10</v>
      </c>
      <c r="IO23" s="727">
        <f t="shared" si="114"/>
        <v>20</v>
      </c>
      <c r="IP23" s="746">
        <v>20</v>
      </c>
      <c r="IQ23" s="12" t="s">
        <v>423</v>
      </c>
      <c r="IR23" s="753">
        <f t="shared" si="92"/>
        <v>46949.501106700598</v>
      </c>
      <c r="IS23" s="754">
        <f t="shared" si="92"/>
        <v>594324</v>
      </c>
      <c r="IT23" s="755">
        <f t="shared" si="92"/>
        <v>7.899648</v>
      </c>
      <c r="IU23" s="399">
        <v>0</v>
      </c>
      <c r="IV23" s="399">
        <f t="shared" si="94"/>
        <v>594324</v>
      </c>
      <c r="IW23" s="753">
        <f t="shared" si="95"/>
        <v>0</v>
      </c>
      <c r="IX23" s="753">
        <f t="shared" si="96"/>
        <v>46949.501106700598</v>
      </c>
      <c r="IY23" s="633">
        <f>IT23</f>
        <v>7.899648</v>
      </c>
      <c r="IZ23" s="633">
        <f>IY23</f>
        <v>7.899648</v>
      </c>
      <c r="JA23" s="753">
        <f t="shared" si="99"/>
        <v>46949.503979519999</v>
      </c>
      <c r="JB23" s="352">
        <f t="shared" si="100"/>
        <v>0</v>
      </c>
      <c r="JF23" s="727">
        <f t="shared" si="115"/>
        <v>20</v>
      </c>
      <c r="JG23" s="746">
        <f t="shared" si="78"/>
        <v>20</v>
      </c>
      <c r="JH23" s="12" t="s">
        <v>423</v>
      </c>
      <c r="JI23" s="399">
        <v>594324</v>
      </c>
      <c r="JJ23" s="747">
        <f t="shared" si="101"/>
        <v>7.899648</v>
      </c>
      <c r="JK23" s="747">
        <v>8.3000000000000007</v>
      </c>
      <c r="JL23" s="737">
        <f t="shared" si="117"/>
        <v>-4.823518072289168E-2</v>
      </c>
      <c r="JM23" s="747">
        <f t="shared" si="102"/>
        <v>-0.40035200000000071</v>
      </c>
      <c r="JN23" s="739">
        <v>10</v>
      </c>
    </row>
    <row r="24" spans="2:275" x14ac:dyDescent="0.3">
      <c r="I24" s="264">
        <f t="shared" si="103"/>
        <v>21</v>
      </c>
      <c r="J24" s="726">
        <f t="shared" si="1"/>
        <v>21</v>
      </c>
      <c r="K24" s="12" t="s">
        <v>402</v>
      </c>
      <c r="L24" s="399">
        <v>0</v>
      </c>
      <c r="M24" s="271">
        <f t="shared" si="2"/>
        <v>0</v>
      </c>
      <c r="N24" s="399">
        <v>943.5</v>
      </c>
      <c r="O24" s="399">
        <f>IFERROR(L24/N24,0)</f>
        <v>0</v>
      </c>
      <c r="P24" s="271">
        <f t="shared" si="3"/>
        <v>0</v>
      </c>
      <c r="Q24" s="248" t="s">
        <v>385</v>
      </c>
      <c r="U24" s="727">
        <f t="shared" si="104"/>
        <v>21</v>
      </c>
      <c r="V24" s="728">
        <f t="shared" si="4"/>
        <v>21</v>
      </c>
      <c r="W24" s="12" t="s">
        <v>402</v>
      </c>
      <c r="X24" s="273">
        <f t="shared" si="80"/>
        <v>0</v>
      </c>
      <c r="Y24" s="271">
        <f t="shared" si="5"/>
        <v>0</v>
      </c>
      <c r="AC24" s="727">
        <f t="shared" si="105"/>
        <v>21</v>
      </c>
      <c r="AD24" s="68">
        <v>21</v>
      </c>
      <c r="AE24" s="275" t="s">
        <v>402</v>
      </c>
      <c r="AF24" s="301">
        <v>14.486666666666666</v>
      </c>
      <c r="AP24" s="727">
        <f t="shared" si="81"/>
        <v>21</v>
      </c>
      <c r="AQ24" s="733">
        <f t="shared" si="6"/>
        <v>21</v>
      </c>
      <c r="AR24" s="12" t="s">
        <v>402</v>
      </c>
      <c r="AS24" s="301">
        <f t="shared" si="7"/>
        <v>14.486666666666666</v>
      </c>
      <c r="AT24" s="734">
        <v>0</v>
      </c>
      <c r="AU24" s="734">
        <f t="shared" si="106"/>
        <v>0</v>
      </c>
      <c r="AV24" s="735">
        <f t="shared" si="8"/>
        <v>0</v>
      </c>
      <c r="AW24" s="736">
        <f t="shared" si="9"/>
        <v>21.544156020912027</v>
      </c>
      <c r="AX24" s="273">
        <f t="shared" si="116"/>
        <v>0</v>
      </c>
      <c r="AY24" s="271">
        <f t="shared" si="10"/>
        <v>0</v>
      </c>
      <c r="AZ24" s="269">
        <f t="shared" si="11"/>
        <v>0</v>
      </c>
      <c r="BK24" s="264">
        <f t="shared" si="107"/>
        <v>21</v>
      </c>
      <c r="BL24" s="248">
        <f t="shared" si="12"/>
        <v>21</v>
      </c>
      <c r="BM24" s="12" t="s">
        <v>402</v>
      </c>
      <c r="BN24" s="271">
        <f t="shared" si="13"/>
        <v>0</v>
      </c>
      <c r="BO24" s="273">
        <f t="shared" si="14"/>
        <v>0</v>
      </c>
      <c r="BP24" s="271">
        <f t="shared" si="15"/>
        <v>0</v>
      </c>
      <c r="BQ24" s="273">
        <f t="shared" si="16"/>
        <v>0</v>
      </c>
      <c r="BR24" s="464">
        <f t="shared" si="17"/>
        <v>0</v>
      </c>
      <c r="BS24" s="269">
        <f t="shared" si="18"/>
        <v>0</v>
      </c>
      <c r="BV24" s="15"/>
      <c r="BW24" s="205"/>
      <c r="BX24" s="205"/>
      <c r="BY24" s="205"/>
      <c r="BZ24" s="205"/>
      <c r="CA24" s="205"/>
      <c r="CB24" s="205"/>
      <c r="CC24" s="205"/>
      <c r="CD24" s="205"/>
      <c r="CH24" s="264">
        <f t="shared" si="108"/>
        <v>21</v>
      </c>
      <c r="CI24" s="68">
        <f t="shared" si="20"/>
        <v>21</v>
      </c>
      <c r="CJ24" s="12" t="s">
        <v>402</v>
      </c>
      <c r="CK24" s="271">
        <f t="shared" si="21"/>
        <v>0</v>
      </c>
      <c r="CL24" s="273">
        <f t="shared" si="22"/>
        <v>0</v>
      </c>
      <c r="CM24" s="271">
        <f t="shared" si="23"/>
        <v>0</v>
      </c>
      <c r="CN24" s="273">
        <f t="shared" si="24"/>
        <v>0</v>
      </c>
      <c r="CO24" s="273">
        <f t="shared" si="25"/>
        <v>0</v>
      </c>
      <c r="CP24" s="271">
        <f t="shared" si="26"/>
        <v>0</v>
      </c>
      <c r="CQ24" s="269">
        <f t="shared" si="27"/>
        <v>0</v>
      </c>
      <c r="DD24" s="15"/>
      <c r="DG24" s="727">
        <f t="shared" si="109"/>
        <v>21</v>
      </c>
      <c r="DH24" s="740">
        <f t="shared" si="29"/>
        <v>21</v>
      </c>
      <c r="DI24" s="12" t="s">
        <v>402</v>
      </c>
      <c r="DJ24" s="271">
        <f t="shared" si="30"/>
        <v>0</v>
      </c>
      <c r="DK24" s="273">
        <f t="shared" si="31"/>
        <v>0</v>
      </c>
      <c r="DL24" s="271">
        <f t="shared" si="32"/>
        <v>0</v>
      </c>
      <c r="DM24" s="273">
        <f t="shared" si="33"/>
        <v>0</v>
      </c>
      <c r="DN24" s="271">
        <f t="shared" si="34"/>
        <v>0</v>
      </c>
      <c r="DO24" s="273">
        <f t="shared" si="35"/>
        <v>0</v>
      </c>
      <c r="DP24" s="273">
        <f t="shared" si="82"/>
        <v>0</v>
      </c>
      <c r="DQ24" s="271">
        <f t="shared" si="36"/>
        <v>0</v>
      </c>
      <c r="DR24" s="269">
        <f t="shared" si="37"/>
        <v>0</v>
      </c>
      <c r="DV24" s="727">
        <f t="shared" si="110"/>
        <v>21</v>
      </c>
      <c r="DW24" s="740">
        <f t="shared" si="38"/>
        <v>21</v>
      </c>
      <c r="DX24" s="12" t="s">
        <v>402</v>
      </c>
      <c r="DY24" s="271">
        <f t="shared" si="39"/>
        <v>0</v>
      </c>
      <c r="DZ24" s="273">
        <f t="shared" si="40"/>
        <v>0</v>
      </c>
      <c r="EA24" s="269">
        <f t="shared" si="41"/>
        <v>0</v>
      </c>
      <c r="EM24" s="727">
        <f t="shared" si="111"/>
        <v>21</v>
      </c>
      <c r="EN24" s="740">
        <f t="shared" si="42"/>
        <v>21</v>
      </c>
      <c r="EO24" s="12" t="s">
        <v>402</v>
      </c>
      <c r="EP24" s="271">
        <f t="shared" si="43"/>
        <v>0</v>
      </c>
      <c r="EQ24" s="273">
        <f t="shared" si="44"/>
        <v>0</v>
      </c>
      <c r="ER24" s="271">
        <f t="shared" si="45"/>
        <v>0</v>
      </c>
      <c r="ES24" s="273">
        <f t="shared" si="46"/>
        <v>0</v>
      </c>
      <c r="ET24" s="271">
        <f t="shared" si="47"/>
        <v>0</v>
      </c>
      <c r="EU24" s="273">
        <f t="shared" si="48"/>
        <v>0</v>
      </c>
      <c r="EV24" s="273">
        <f t="shared" si="49"/>
        <v>0</v>
      </c>
      <c r="EW24" s="271">
        <f t="shared" si="50"/>
        <v>0</v>
      </c>
      <c r="EX24" s="269">
        <f t="shared" si="51"/>
        <v>0</v>
      </c>
      <c r="FH24" s="727">
        <f t="shared" si="112"/>
        <v>21</v>
      </c>
      <c r="FI24" s="728">
        <f t="shared" si="52"/>
        <v>21</v>
      </c>
      <c r="FJ24" s="12" t="s">
        <v>402</v>
      </c>
      <c r="FK24" s="271">
        <f t="shared" si="53"/>
        <v>0</v>
      </c>
      <c r="FL24" s="273">
        <f t="shared" si="54"/>
        <v>0</v>
      </c>
      <c r="FM24" s="269">
        <f t="shared" si="55"/>
        <v>0</v>
      </c>
      <c r="FQ24" s="264">
        <f t="shared" si="83"/>
        <v>21</v>
      </c>
      <c r="FR24" s="728">
        <v>21</v>
      </c>
      <c r="FS24" s="12" t="s">
        <v>402</v>
      </c>
      <c r="FT24" s="273">
        <f t="shared" si="84"/>
        <v>0</v>
      </c>
      <c r="FU24" s="273">
        <f t="shared" si="56"/>
        <v>0</v>
      </c>
      <c r="FV24" s="273">
        <f t="shared" si="57"/>
        <v>0</v>
      </c>
      <c r="FW24" s="273">
        <f t="shared" si="58"/>
        <v>0</v>
      </c>
      <c r="FX24" s="273">
        <f t="shared" si="59"/>
        <v>0</v>
      </c>
      <c r="FY24" s="273">
        <f t="shared" si="60"/>
        <v>0</v>
      </c>
      <c r="FZ24" s="273">
        <f t="shared" si="61"/>
        <v>0</v>
      </c>
      <c r="GA24" s="273">
        <f t="shared" si="62"/>
        <v>0</v>
      </c>
      <c r="GB24" s="352">
        <f t="shared" si="63"/>
        <v>0</v>
      </c>
      <c r="GF24" s="727">
        <f t="shared" si="85"/>
        <v>21</v>
      </c>
      <c r="GG24" s="728">
        <f t="shared" si="64"/>
        <v>21</v>
      </c>
      <c r="GH24" s="12" t="s">
        <v>402</v>
      </c>
      <c r="GI24" s="269">
        <f t="shared" si="86"/>
        <v>0</v>
      </c>
      <c r="GJ24" s="269">
        <f t="shared" si="65"/>
        <v>0</v>
      </c>
      <c r="GK24" s="269">
        <f t="shared" si="66"/>
        <v>0</v>
      </c>
      <c r="GL24" s="269">
        <f t="shared" si="67"/>
        <v>0</v>
      </c>
      <c r="GM24" s="269">
        <f t="shared" si="68"/>
        <v>0</v>
      </c>
      <c r="GN24" s="269">
        <f t="shared" si="69"/>
        <v>0</v>
      </c>
      <c r="GO24" s="269">
        <f t="shared" si="70"/>
        <v>0</v>
      </c>
      <c r="GP24" s="269">
        <f t="shared" si="71"/>
        <v>0</v>
      </c>
      <c r="GQ24" s="399">
        <v>0</v>
      </c>
      <c r="GR24" s="708"/>
      <c r="GU24" s="264">
        <f t="shared" si="87"/>
        <v>21</v>
      </c>
      <c r="GV24" s="728">
        <f t="shared" si="72"/>
        <v>21</v>
      </c>
      <c r="GW24" s="12" t="s">
        <v>402</v>
      </c>
      <c r="GX24" s="248" t="s">
        <v>385</v>
      </c>
      <c r="GY24" s="273">
        <f t="shared" si="73"/>
        <v>0</v>
      </c>
      <c r="GZ24" s="399">
        <f t="shared" si="74"/>
        <v>0</v>
      </c>
      <c r="HA24" s="352">
        <f t="shared" si="88"/>
        <v>22.96</v>
      </c>
      <c r="HB24" s="273">
        <f t="shared" si="75"/>
        <v>0</v>
      </c>
      <c r="HC24" s="742">
        <f t="shared" si="76"/>
        <v>0</v>
      </c>
      <c r="HD24" s="743"/>
      <c r="HG24" s="743"/>
      <c r="HH24" s="743"/>
      <c r="HI24" s="743"/>
      <c r="HJ24" s="743"/>
      <c r="HK24" s="743"/>
      <c r="HL24" s="743"/>
      <c r="HM24" s="743"/>
      <c r="HP24" s="727">
        <f t="shared" si="113"/>
        <v>21</v>
      </c>
      <c r="HQ24" s="746">
        <f t="shared" si="77"/>
        <v>21</v>
      </c>
      <c r="HR24" s="12" t="s">
        <v>402</v>
      </c>
      <c r="HS24" s="399">
        <v>0</v>
      </c>
      <c r="HT24" s="747">
        <f t="shared" si="89"/>
        <v>22.96</v>
      </c>
      <c r="HU24" s="747">
        <v>22.96</v>
      </c>
      <c r="HV24" s="737">
        <f t="shared" si="90"/>
        <v>0</v>
      </c>
      <c r="HW24" s="747">
        <f t="shared" si="91"/>
        <v>0</v>
      </c>
      <c r="HX24" s="739">
        <v>10</v>
      </c>
      <c r="IO24" s="727">
        <f t="shared" si="114"/>
        <v>21</v>
      </c>
      <c r="IP24" s="746">
        <v>21</v>
      </c>
      <c r="IQ24" s="12" t="s">
        <v>402</v>
      </c>
      <c r="IR24" s="753">
        <f t="shared" si="92"/>
        <v>0</v>
      </c>
      <c r="IS24" s="399">
        <f t="shared" si="92"/>
        <v>0</v>
      </c>
      <c r="IT24" s="755">
        <f t="shared" si="92"/>
        <v>22.96</v>
      </c>
      <c r="IU24" s="399">
        <f t="shared" si="93"/>
        <v>0</v>
      </c>
      <c r="IV24" s="399">
        <f t="shared" si="94"/>
        <v>0</v>
      </c>
      <c r="IW24" s="753">
        <f t="shared" si="95"/>
        <v>0</v>
      </c>
      <c r="IX24" s="753">
        <f t="shared" si="96"/>
        <v>0</v>
      </c>
      <c r="IY24" s="633">
        <f>IT24</f>
        <v>22.96</v>
      </c>
      <c r="IZ24" s="633">
        <f>IY24+1.5</f>
        <v>24.46</v>
      </c>
      <c r="JA24" s="753">
        <f t="shared" si="99"/>
        <v>0</v>
      </c>
      <c r="JB24" s="352">
        <f t="shared" si="100"/>
        <v>0</v>
      </c>
      <c r="JF24" s="727">
        <f t="shared" si="115"/>
        <v>21</v>
      </c>
      <c r="JG24" s="746">
        <f t="shared" si="78"/>
        <v>21</v>
      </c>
      <c r="JH24" s="12" t="s">
        <v>402</v>
      </c>
      <c r="JI24" s="399">
        <v>0</v>
      </c>
      <c r="JJ24" s="747">
        <f t="shared" si="101"/>
        <v>22.96</v>
      </c>
      <c r="JK24" s="747">
        <v>22.96</v>
      </c>
      <c r="JL24" s="737">
        <f t="shared" si="117"/>
        <v>0</v>
      </c>
      <c r="JM24" s="747">
        <f t="shared" si="102"/>
        <v>0</v>
      </c>
      <c r="JN24" s="739">
        <v>10</v>
      </c>
    </row>
    <row r="25" spans="2:275" x14ac:dyDescent="0.3">
      <c r="I25" s="264">
        <f t="shared" si="103"/>
        <v>22</v>
      </c>
      <c r="J25" s="726">
        <f t="shared" si="1"/>
        <v>22</v>
      </c>
      <c r="K25" s="12" t="s">
        <v>424</v>
      </c>
      <c r="L25" s="399">
        <v>0</v>
      </c>
      <c r="M25" s="271">
        <f t="shared" si="2"/>
        <v>0</v>
      </c>
      <c r="N25" s="399">
        <v>10</v>
      </c>
      <c r="O25" s="399">
        <f>IFERROR(L25/N25,0)</f>
        <v>0</v>
      </c>
      <c r="P25" s="271">
        <f t="shared" si="3"/>
        <v>0</v>
      </c>
      <c r="Q25" s="248" t="s">
        <v>389</v>
      </c>
      <c r="U25" s="727">
        <f t="shared" si="104"/>
        <v>22</v>
      </c>
      <c r="V25" s="728">
        <f t="shared" si="4"/>
        <v>22</v>
      </c>
      <c r="W25" s="12" t="s">
        <v>424</v>
      </c>
      <c r="X25" s="273">
        <f t="shared" si="80"/>
        <v>0</v>
      </c>
      <c r="Y25" s="271">
        <f t="shared" si="5"/>
        <v>0</v>
      </c>
      <c r="AC25" s="727">
        <f t="shared" si="105"/>
        <v>22</v>
      </c>
      <c r="AD25" s="68">
        <v>22</v>
      </c>
      <c r="AE25" s="275" t="s">
        <v>424</v>
      </c>
      <c r="AF25" s="301">
        <v>73.19</v>
      </c>
      <c r="AP25" s="727">
        <f t="shared" si="81"/>
        <v>22</v>
      </c>
      <c r="AQ25" s="733">
        <f t="shared" si="6"/>
        <v>22</v>
      </c>
      <c r="AR25" s="12" t="s">
        <v>424</v>
      </c>
      <c r="AS25" s="12">
        <f t="shared" si="7"/>
        <v>73.19</v>
      </c>
      <c r="AT25" s="734">
        <v>0</v>
      </c>
      <c r="AU25" s="734">
        <f t="shared" si="106"/>
        <v>0</v>
      </c>
      <c r="AV25" s="735">
        <f t="shared" si="8"/>
        <v>0</v>
      </c>
      <c r="AW25" s="736">
        <f t="shared" si="9"/>
        <v>21.544156020912027</v>
      </c>
      <c r="AX25" s="273">
        <f t="shared" si="116"/>
        <v>0</v>
      </c>
      <c r="AY25" s="271">
        <f t="shared" si="10"/>
        <v>0</v>
      </c>
      <c r="AZ25" s="269">
        <f t="shared" si="11"/>
        <v>0</v>
      </c>
      <c r="BK25" s="264">
        <f t="shared" si="107"/>
        <v>22</v>
      </c>
      <c r="BL25" s="248">
        <f t="shared" si="12"/>
        <v>22</v>
      </c>
      <c r="BM25" s="12" t="s">
        <v>424</v>
      </c>
      <c r="BN25" s="271">
        <f t="shared" si="13"/>
        <v>0</v>
      </c>
      <c r="BO25" s="273">
        <f t="shared" si="14"/>
        <v>0</v>
      </c>
      <c r="BP25" s="271">
        <f t="shared" si="15"/>
        <v>0</v>
      </c>
      <c r="BQ25" s="273">
        <f t="shared" si="16"/>
        <v>0</v>
      </c>
      <c r="BR25" s="464">
        <f t="shared" si="17"/>
        <v>0</v>
      </c>
      <c r="BS25" s="269">
        <f t="shared" si="18"/>
        <v>0</v>
      </c>
      <c r="BV25" s="15"/>
      <c r="BW25" s="205"/>
      <c r="BX25" s="205"/>
      <c r="BY25" s="205"/>
      <c r="BZ25" s="205"/>
      <c r="CA25" s="205"/>
      <c r="CB25" s="205"/>
      <c r="CC25" s="205"/>
      <c r="CD25" s="205"/>
      <c r="CH25" s="264">
        <f t="shared" si="108"/>
        <v>22</v>
      </c>
      <c r="CI25" s="68">
        <f t="shared" si="20"/>
        <v>22</v>
      </c>
      <c r="CJ25" s="12" t="s">
        <v>424</v>
      </c>
      <c r="CK25" s="271">
        <f t="shared" si="21"/>
        <v>0</v>
      </c>
      <c r="CL25" s="273">
        <f t="shared" si="22"/>
        <v>0</v>
      </c>
      <c r="CM25" s="271">
        <f t="shared" si="23"/>
        <v>0</v>
      </c>
      <c r="CN25" s="273">
        <f t="shared" si="24"/>
        <v>0</v>
      </c>
      <c r="CO25" s="273">
        <f t="shared" si="25"/>
        <v>0</v>
      </c>
      <c r="CP25" s="271">
        <f t="shared" si="26"/>
        <v>0</v>
      </c>
      <c r="CQ25" s="269">
        <f t="shared" si="27"/>
        <v>0</v>
      </c>
      <c r="DD25" s="15"/>
      <c r="DG25" s="727">
        <f t="shared" si="109"/>
        <v>22</v>
      </c>
      <c r="DH25" s="740">
        <f t="shared" si="29"/>
        <v>22</v>
      </c>
      <c r="DI25" s="12" t="s">
        <v>424</v>
      </c>
      <c r="DJ25" s="271">
        <f t="shared" si="30"/>
        <v>0</v>
      </c>
      <c r="DK25" s="273">
        <f t="shared" si="31"/>
        <v>0</v>
      </c>
      <c r="DL25" s="271">
        <f t="shared" si="32"/>
        <v>0</v>
      </c>
      <c r="DM25" s="273">
        <f t="shared" si="33"/>
        <v>0</v>
      </c>
      <c r="DN25" s="271">
        <f t="shared" si="34"/>
        <v>0</v>
      </c>
      <c r="DO25" s="273">
        <f t="shared" si="35"/>
        <v>0</v>
      </c>
      <c r="DP25" s="273">
        <f t="shared" si="82"/>
        <v>0</v>
      </c>
      <c r="DQ25" s="271">
        <f t="shared" si="36"/>
        <v>0</v>
      </c>
      <c r="DR25" s="269">
        <f t="shared" si="37"/>
        <v>0</v>
      </c>
      <c r="DV25" s="727">
        <f t="shared" si="110"/>
        <v>22</v>
      </c>
      <c r="DW25" s="740">
        <f t="shared" si="38"/>
        <v>22</v>
      </c>
      <c r="DX25" s="12" t="s">
        <v>424</v>
      </c>
      <c r="DY25" s="271">
        <f t="shared" si="39"/>
        <v>0</v>
      </c>
      <c r="DZ25" s="273">
        <f t="shared" si="40"/>
        <v>0</v>
      </c>
      <c r="EA25" s="269">
        <f t="shared" si="41"/>
        <v>0</v>
      </c>
      <c r="EM25" s="727">
        <f t="shared" si="111"/>
        <v>22</v>
      </c>
      <c r="EN25" s="740">
        <f t="shared" si="42"/>
        <v>22</v>
      </c>
      <c r="EO25" s="12" t="s">
        <v>424</v>
      </c>
      <c r="EP25" s="271">
        <f t="shared" si="43"/>
        <v>0</v>
      </c>
      <c r="EQ25" s="273">
        <f t="shared" si="44"/>
        <v>0</v>
      </c>
      <c r="ER25" s="271">
        <f t="shared" si="45"/>
        <v>0</v>
      </c>
      <c r="ES25" s="273">
        <f t="shared" si="46"/>
        <v>0</v>
      </c>
      <c r="ET25" s="271">
        <f t="shared" si="47"/>
        <v>0</v>
      </c>
      <c r="EU25" s="273">
        <f t="shared" si="48"/>
        <v>0</v>
      </c>
      <c r="EV25" s="273">
        <f t="shared" si="49"/>
        <v>0</v>
      </c>
      <c r="EW25" s="271">
        <f t="shared" si="50"/>
        <v>0</v>
      </c>
      <c r="EX25" s="269">
        <f t="shared" si="51"/>
        <v>0</v>
      </c>
      <c r="FH25" s="727">
        <f t="shared" si="112"/>
        <v>22</v>
      </c>
      <c r="FI25" s="728">
        <f t="shared" si="52"/>
        <v>22</v>
      </c>
      <c r="FJ25" s="12" t="s">
        <v>424</v>
      </c>
      <c r="FK25" s="271">
        <f t="shared" si="53"/>
        <v>0</v>
      </c>
      <c r="FL25" s="273">
        <f t="shared" si="54"/>
        <v>0</v>
      </c>
      <c r="FM25" s="269">
        <f t="shared" si="55"/>
        <v>0</v>
      </c>
      <c r="FQ25" s="264">
        <f t="shared" si="83"/>
        <v>22</v>
      </c>
      <c r="FR25" s="728">
        <v>22</v>
      </c>
      <c r="FS25" s="12" t="s">
        <v>424</v>
      </c>
      <c r="FT25" s="273">
        <f t="shared" si="84"/>
        <v>0</v>
      </c>
      <c r="FU25" s="273">
        <f t="shared" si="56"/>
        <v>0</v>
      </c>
      <c r="FV25" s="273">
        <f t="shared" si="57"/>
        <v>0</v>
      </c>
      <c r="FW25" s="273">
        <f t="shared" si="58"/>
        <v>0</v>
      </c>
      <c r="FX25" s="273">
        <f t="shared" si="59"/>
        <v>0</v>
      </c>
      <c r="FY25" s="273">
        <f t="shared" si="60"/>
        <v>0</v>
      </c>
      <c r="FZ25" s="273">
        <f t="shared" si="61"/>
        <v>0</v>
      </c>
      <c r="GA25" s="273">
        <f>SUM(FT25:FZ25)</f>
        <v>0</v>
      </c>
      <c r="GB25" s="352">
        <f t="shared" si="63"/>
        <v>0</v>
      </c>
      <c r="GF25" s="727">
        <f t="shared" si="85"/>
        <v>22</v>
      </c>
      <c r="GG25" s="728">
        <f t="shared" si="64"/>
        <v>22</v>
      </c>
      <c r="GH25" s="12" t="s">
        <v>424</v>
      </c>
      <c r="GI25" s="269">
        <f t="shared" si="86"/>
        <v>0</v>
      </c>
      <c r="GJ25" s="269">
        <f t="shared" si="65"/>
        <v>0</v>
      </c>
      <c r="GK25" s="269">
        <f t="shared" si="66"/>
        <v>0</v>
      </c>
      <c r="GL25" s="269">
        <f t="shared" si="67"/>
        <v>0</v>
      </c>
      <c r="GM25" s="269">
        <f t="shared" si="68"/>
        <v>0</v>
      </c>
      <c r="GN25" s="269">
        <f t="shared" si="69"/>
        <v>0</v>
      </c>
      <c r="GO25" s="269">
        <f t="shared" si="70"/>
        <v>0</v>
      </c>
      <c r="GP25" s="269">
        <f t="shared" si="71"/>
        <v>0</v>
      </c>
      <c r="GQ25" s="399">
        <v>0</v>
      </c>
      <c r="GR25" s="708"/>
      <c r="GU25" s="264">
        <f t="shared" si="87"/>
        <v>22</v>
      </c>
      <c r="GV25" s="728">
        <f t="shared" si="72"/>
        <v>22</v>
      </c>
      <c r="GW25" s="12" t="s">
        <v>424</v>
      </c>
      <c r="GX25" s="248" t="s">
        <v>389</v>
      </c>
      <c r="GY25" s="273">
        <f t="shared" si="73"/>
        <v>0</v>
      </c>
      <c r="GZ25" s="399">
        <f t="shared" si="74"/>
        <v>0</v>
      </c>
      <c r="HA25" s="352">
        <f t="shared" si="88"/>
        <v>3149</v>
      </c>
      <c r="HB25" s="273">
        <f t="shared" si="75"/>
        <v>0</v>
      </c>
      <c r="HC25" s="742">
        <f t="shared" si="76"/>
        <v>0</v>
      </c>
      <c r="HD25" s="743"/>
      <c r="HG25" s="743"/>
      <c r="HH25" s="743"/>
      <c r="HI25" s="743"/>
      <c r="HJ25" s="743"/>
      <c r="HK25" s="743"/>
      <c r="HL25" s="743"/>
      <c r="HM25" s="743"/>
      <c r="HP25" s="727">
        <f t="shared" si="113"/>
        <v>22</v>
      </c>
      <c r="HQ25" s="746">
        <f t="shared" si="77"/>
        <v>22</v>
      </c>
      <c r="HR25" s="12" t="s">
        <v>424</v>
      </c>
      <c r="HS25" s="399">
        <v>0</v>
      </c>
      <c r="HT25" s="747">
        <f t="shared" si="89"/>
        <v>3149</v>
      </c>
      <c r="HU25" s="747">
        <v>3149</v>
      </c>
      <c r="HV25" s="737">
        <f t="shared" si="90"/>
        <v>0</v>
      </c>
      <c r="HW25" s="747">
        <f t="shared" si="91"/>
        <v>0</v>
      </c>
      <c r="HX25" s="739">
        <v>10000</v>
      </c>
      <c r="IO25" s="727">
        <f t="shared" si="114"/>
        <v>22</v>
      </c>
      <c r="IP25" s="746">
        <v>22</v>
      </c>
      <c r="IQ25" s="12" t="s">
        <v>424</v>
      </c>
      <c r="IR25" s="753">
        <f t="shared" si="92"/>
        <v>0</v>
      </c>
      <c r="IS25" s="399">
        <f t="shared" si="92"/>
        <v>0</v>
      </c>
      <c r="IT25" s="755">
        <f t="shared" si="92"/>
        <v>3149</v>
      </c>
      <c r="IU25" s="399">
        <f t="shared" si="93"/>
        <v>0</v>
      </c>
      <c r="IV25" s="399">
        <f t="shared" si="94"/>
        <v>0</v>
      </c>
      <c r="IW25" s="753">
        <f t="shared" si="95"/>
        <v>0</v>
      </c>
      <c r="IX25" s="753">
        <f t="shared" si="96"/>
        <v>0</v>
      </c>
      <c r="IY25" s="633">
        <f>IT25</f>
        <v>3149</v>
      </c>
      <c r="IZ25" s="633">
        <f>IY25</f>
        <v>3149</v>
      </c>
      <c r="JA25" s="753">
        <f t="shared" si="99"/>
        <v>0</v>
      </c>
      <c r="JB25" s="352">
        <f t="shared" si="100"/>
        <v>0</v>
      </c>
      <c r="JF25" s="727">
        <f t="shared" si="115"/>
        <v>22</v>
      </c>
      <c r="JG25" s="746">
        <f t="shared" si="78"/>
        <v>22</v>
      </c>
      <c r="JH25" s="12" t="s">
        <v>424</v>
      </c>
      <c r="JI25" s="399">
        <v>0</v>
      </c>
      <c r="JJ25" s="747">
        <f t="shared" si="101"/>
        <v>3149</v>
      </c>
      <c r="JK25" s="747">
        <v>3149</v>
      </c>
      <c r="JL25" s="737">
        <f t="shared" si="117"/>
        <v>0</v>
      </c>
      <c r="JM25" s="747">
        <f t="shared" si="102"/>
        <v>0</v>
      </c>
      <c r="JN25" s="739">
        <v>10000</v>
      </c>
    </row>
    <row r="26" spans="2:275" x14ac:dyDescent="0.3">
      <c r="I26" s="264">
        <f t="shared" si="103"/>
        <v>23</v>
      </c>
      <c r="J26" s="726">
        <f t="shared" si="1"/>
        <v>23</v>
      </c>
      <c r="K26" s="12" t="s">
        <v>425</v>
      </c>
      <c r="L26" s="399">
        <v>69668</v>
      </c>
      <c r="M26" s="271">
        <f t="shared" si="2"/>
        <v>3.1151230240255376E-5</v>
      </c>
      <c r="N26" s="399">
        <v>466.8</v>
      </c>
      <c r="O26" s="399">
        <f t="shared" si="79"/>
        <v>149.2459297343616</v>
      </c>
      <c r="P26" s="271">
        <f t="shared" si="3"/>
        <v>8.0979299060306357E-5</v>
      </c>
      <c r="Q26" s="248" t="s">
        <v>389</v>
      </c>
      <c r="U26" s="727">
        <f t="shared" si="104"/>
        <v>23</v>
      </c>
      <c r="V26" s="728">
        <f t="shared" si="4"/>
        <v>23</v>
      </c>
      <c r="W26" s="12" t="s">
        <v>425</v>
      </c>
      <c r="X26" s="273">
        <f t="shared" si="80"/>
        <v>4913.8942007917185</v>
      </c>
      <c r="Y26" s="271">
        <f t="shared" si="5"/>
        <v>4.7441430388621316E-5</v>
      </c>
      <c r="AC26" s="727">
        <f t="shared" si="105"/>
        <v>23</v>
      </c>
      <c r="AD26" s="68">
        <v>23</v>
      </c>
      <c r="AE26" s="275" t="s">
        <v>425</v>
      </c>
      <c r="AF26" s="301">
        <v>3.91</v>
      </c>
      <c r="AP26" s="727">
        <f t="shared" si="81"/>
        <v>23</v>
      </c>
      <c r="AQ26" s="733">
        <f t="shared" si="6"/>
        <v>23</v>
      </c>
      <c r="AR26" s="12" t="s">
        <v>425</v>
      </c>
      <c r="AS26" s="12">
        <f t="shared" si="7"/>
        <v>3.91</v>
      </c>
      <c r="AT26" s="734">
        <v>69668</v>
      </c>
      <c r="AU26" s="734">
        <f t="shared" si="106"/>
        <v>75.667188888888887</v>
      </c>
      <c r="AV26" s="735">
        <f t="shared" si="8"/>
        <v>74.549417224004458</v>
      </c>
      <c r="AW26" s="736">
        <f t="shared" si="9"/>
        <v>21.544156020912027</v>
      </c>
      <c r="AX26" s="273">
        <f t="shared" si="116"/>
        <v>1606.1042759420184</v>
      </c>
      <c r="AY26" s="271">
        <f t="shared" si="10"/>
        <v>3.5489638843742513E-5</v>
      </c>
      <c r="AZ26" s="269">
        <f t="shared" si="11"/>
        <v>2.3053689999999998</v>
      </c>
      <c r="BK26" s="264">
        <f t="shared" si="107"/>
        <v>23</v>
      </c>
      <c r="BL26" s="248">
        <f t="shared" si="12"/>
        <v>23</v>
      </c>
      <c r="BM26" s="12" t="s">
        <v>425</v>
      </c>
      <c r="BN26" s="271">
        <f t="shared" si="13"/>
        <v>3.5489638843742513E-5</v>
      </c>
      <c r="BO26" s="273">
        <f t="shared" si="14"/>
        <v>328.88849614319349</v>
      </c>
      <c r="BP26" s="271">
        <f t="shared" si="15"/>
        <v>3.1151230240255376E-5</v>
      </c>
      <c r="BQ26" s="273">
        <f t="shared" si="16"/>
        <v>288.68372856193201</v>
      </c>
      <c r="BR26" s="464">
        <f t="shared" si="17"/>
        <v>617.57222470512556</v>
      </c>
      <c r="BS26" s="269">
        <f t="shared" si="18"/>
        <v>0.88644999999999996</v>
      </c>
      <c r="BV26" s="15"/>
      <c r="BW26" s="205"/>
      <c r="BX26" s="205"/>
      <c r="BY26" s="205"/>
      <c r="BZ26" s="205"/>
      <c r="CA26" s="205"/>
      <c r="CB26" s="205"/>
      <c r="CC26" s="205"/>
      <c r="CD26" s="205"/>
      <c r="CH26" s="264">
        <f t="shared" si="108"/>
        <v>23</v>
      </c>
      <c r="CI26" s="68">
        <f t="shared" si="20"/>
        <v>23</v>
      </c>
      <c r="CJ26" s="12" t="s">
        <v>425</v>
      </c>
      <c r="CK26" s="271">
        <f t="shared" si="21"/>
        <v>3.1151230240255376E-5</v>
      </c>
      <c r="CL26" s="273">
        <f t="shared" si="22"/>
        <v>195.52535231487451</v>
      </c>
      <c r="CM26" s="271">
        <f t="shared" si="23"/>
        <v>8.0979299060306357E-5</v>
      </c>
      <c r="CN26" s="273">
        <f t="shared" si="24"/>
        <v>1694.918622156747</v>
      </c>
      <c r="CO26" s="273">
        <f t="shared" si="25"/>
        <v>1890.4439744716215</v>
      </c>
      <c r="CP26" s="271">
        <f t="shared" si="26"/>
        <v>6.9483939672309133E-5</v>
      </c>
      <c r="CQ26" s="269">
        <f t="shared" si="27"/>
        <v>2.7135039999999999</v>
      </c>
      <c r="DD26" s="15"/>
      <c r="DG26" s="727">
        <f t="shared" si="109"/>
        <v>23</v>
      </c>
      <c r="DH26" s="740">
        <f t="shared" si="29"/>
        <v>23</v>
      </c>
      <c r="DI26" s="12" t="s">
        <v>425</v>
      </c>
      <c r="DJ26" s="271">
        <f t="shared" si="30"/>
        <v>6.9483939672309133E-5</v>
      </c>
      <c r="DK26" s="273">
        <f t="shared" si="31"/>
        <v>21.85529287997597</v>
      </c>
      <c r="DL26" s="271">
        <f t="shared" si="32"/>
        <v>8.0979299060306357E-5</v>
      </c>
      <c r="DM26" s="273">
        <f t="shared" si="33"/>
        <v>287.22064284012617</v>
      </c>
      <c r="DN26" s="271">
        <f t="shared" si="34"/>
        <v>3.1151230240255376E-5</v>
      </c>
      <c r="DO26" s="273">
        <f t="shared" si="35"/>
        <v>134.68365651659013</v>
      </c>
      <c r="DP26" s="273">
        <f t="shared" si="82"/>
        <v>443.7595922366923</v>
      </c>
      <c r="DQ26" s="271">
        <f t="shared" si="36"/>
        <v>5.4216730762686092E-5</v>
      </c>
      <c r="DR26" s="269">
        <f t="shared" si="37"/>
        <v>0.63696299999999995</v>
      </c>
      <c r="DV26" s="727">
        <f t="shared" si="110"/>
        <v>23</v>
      </c>
      <c r="DW26" s="740">
        <f t="shared" si="38"/>
        <v>23</v>
      </c>
      <c r="DX26" s="12" t="s">
        <v>425</v>
      </c>
      <c r="DY26" s="271">
        <f t="shared" si="39"/>
        <v>8.0979299060306357E-5</v>
      </c>
      <c r="DZ26" s="273">
        <f t="shared" si="40"/>
        <v>356.01413343626069</v>
      </c>
      <c r="EA26" s="269">
        <f t="shared" si="41"/>
        <v>0.511015</v>
      </c>
      <c r="EM26" s="727">
        <f t="shared" si="111"/>
        <v>23</v>
      </c>
      <c r="EN26" s="740">
        <f t="shared" si="42"/>
        <v>23</v>
      </c>
      <c r="EO26" s="12" t="s">
        <v>425</v>
      </c>
      <c r="EP26" s="271">
        <f t="shared" si="43"/>
        <v>4.7441430388621316E-5</v>
      </c>
      <c r="EQ26" s="273">
        <f t="shared" si="44"/>
        <v>394.73300566410273</v>
      </c>
      <c r="ER26" s="271">
        <f t="shared" si="45"/>
        <v>6.9483939672309133E-5</v>
      </c>
      <c r="ES26" s="273">
        <f t="shared" si="46"/>
        <v>75.900457452657974</v>
      </c>
      <c r="ET26" s="271">
        <f t="shared" si="47"/>
        <v>3.1151230240255376E-5</v>
      </c>
      <c r="EU26" s="273">
        <f t="shared" si="48"/>
        <v>170.63495106953562</v>
      </c>
      <c r="EV26" s="273">
        <f t="shared" si="49"/>
        <v>641.26841418629635</v>
      </c>
      <c r="EW26" s="271">
        <f t="shared" si="50"/>
        <v>4.3065882607654627E-5</v>
      </c>
      <c r="EX26" s="269">
        <f t="shared" si="51"/>
        <v>0.92046300000000003</v>
      </c>
      <c r="FH26" s="727">
        <f t="shared" si="112"/>
        <v>23</v>
      </c>
      <c r="FI26" s="728">
        <f t="shared" si="52"/>
        <v>23</v>
      </c>
      <c r="FJ26" s="12" t="s">
        <v>425</v>
      </c>
      <c r="FK26" s="271">
        <f t="shared" si="53"/>
        <v>4.7441430388621316E-5</v>
      </c>
      <c r="FL26" s="273">
        <f t="shared" si="54"/>
        <v>1076.3780818180514</v>
      </c>
      <c r="FM26" s="269">
        <f t="shared" si="55"/>
        <v>1.5450109999999999</v>
      </c>
      <c r="FQ26" s="264">
        <f t="shared" si="83"/>
        <v>23</v>
      </c>
      <c r="FR26" s="728">
        <v>23</v>
      </c>
      <c r="FS26" s="12" t="s">
        <v>425</v>
      </c>
      <c r="FT26" s="273">
        <f t="shared" si="84"/>
        <v>1606.1042759420184</v>
      </c>
      <c r="FU26" s="273">
        <f t="shared" si="56"/>
        <v>617.57222470512556</v>
      </c>
      <c r="FV26" s="273">
        <f t="shared" si="57"/>
        <v>1890.4439744716215</v>
      </c>
      <c r="FW26" s="273">
        <f t="shared" si="58"/>
        <v>443.7595922366923</v>
      </c>
      <c r="FX26" s="273">
        <f t="shared" si="59"/>
        <v>356.01413343626069</v>
      </c>
      <c r="FY26" s="273">
        <f t="shared" si="60"/>
        <v>641.26841418629635</v>
      </c>
      <c r="FZ26" s="273">
        <f t="shared" si="61"/>
        <v>1076.3780818180514</v>
      </c>
      <c r="GA26" s="273">
        <f>SUM(FT26:FZ26)</f>
        <v>6631.5406967960662</v>
      </c>
      <c r="GB26" s="352">
        <f t="shared" si="63"/>
        <v>9.5187760000000008</v>
      </c>
      <c r="GF26" s="727">
        <f t="shared" si="85"/>
        <v>23</v>
      </c>
      <c r="GG26" s="728">
        <f t="shared" si="64"/>
        <v>23</v>
      </c>
      <c r="GH26" s="12" t="s">
        <v>425</v>
      </c>
      <c r="GI26" s="269">
        <f t="shared" si="86"/>
        <v>2.3053689999999998</v>
      </c>
      <c r="GJ26" s="269">
        <f t="shared" si="65"/>
        <v>0.88644999999999996</v>
      </c>
      <c r="GK26" s="269">
        <f t="shared" si="66"/>
        <v>2.7135039999999999</v>
      </c>
      <c r="GL26" s="269">
        <f t="shared" si="67"/>
        <v>0.63696299999999995</v>
      </c>
      <c r="GM26" s="269">
        <f t="shared" si="68"/>
        <v>0.511015</v>
      </c>
      <c r="GN26" s="269">
        <f t="shared" si="69"/>
        <v>0.92046300000000003</v>
      </c>
      <c r="GO26" s="269">
        <f t="shared" si="70"/>
        <v>1.5450109999999999</v>
      </c>
      <c r="GP26" s="269">
        <f t="shared" si="71"/>
        <v>9.5187760000000008</v>
      </c>
      <c r="GQ26" s="399">
        <v>69668</v>
      </c>
      <c r="GR26" s="708"/>
      <c r="GU26" s="264">
        <f t="shared" si="87"/>
        <v>23</v>
      </c>
      <c r="GV26" s="728">
        <f t="shared" si="72"/>
        <v>23</v>
      </c>
      <c r="GW26" s="12" t="s">
        <v>425</v>
      </c>
      <c r="GX26" s="248" t="s">
        <v>389</v>
      </c>
      <c r="GY26" s="273">
        <f t="shared" si="73"/>
        <v>6631.5406967960662</v>
      </c>
      <c r="GZ26" s="399">
        <f t="shared" si="74"/>
        <v>69668</v>
      </c>
      <c r="HA26" s="352">
        <f t="shared" si="88"/>
        <v>9.5187760000000008</v>
      </c>
      <c r="HB26" s="273">
        <f t="shared" si="75"/>
        <v>6631.5408636800003</v>
      </c>
      <c r="HC26" s="742">
        <f t="shared" si="76"/>
        <v>1.6688393407093827E-4</v>
      </c>
      <c r="HD26" s="743"/>
      <c r="HG26" s="743"/>
      <c r="HH26" s="743"/>
      <c r="HI26" s="743"/>
      <c r="HJ26" s="743"/>
      <c r="HK26" s="743"/>
      <c r="HL26" s="743"/>
      <c r="HM26" s="743"/>
      <c r="HP26" s="727">
        <f t="shared" si="113"/>
        <v>23</v>
      </c>
      <c r="HQ26" s="746">
        <f t="shared" si="77"/>
        <v>23</v>
      </c>
      <c r="HR26" s="12" t="s">
        <v>425</v>
      </c>
      <c r="HS26" s="399">
        <v>69668</v>
      </c>
      <c r="HT26" s="747">
        <f t="shared" si="89"/>
        <v>9.5187760000000008</v>
      </c>
      <c r="HU26" s="747">
        <v>9.8079999999999998</v>
      </c>
      <c r="HV26" s="737">
        <f t="shared" si="90"/>
        <v>-2.9488580750407722E-2</v>
      </c>
      <c r="HW26" s="747">
        <f t="shared" si="91"/>
        <v>-0.28922399999999904</v>
      </c>
      <c r="HX26" s="739">
        <v>10</v>
      </c>
      <c r="IO26" s="727">
        <f t="shared" si="114"/>
        <v>23</v>
      </c>
      <c r="IP26" s="746">
        <v>23</v>
      </c>
      <c r="IQ26" s="12" t="s">
        <v>425</v>
      </c>
      <c r="IR26" s="753">
        <f t="shared" si="92"/>
        <v>6631.5406967960662</v>
      </c>
      <c r="IS26" s="754">
        <f t="shared" si="92"/>
        <v>69668</v>
      </c>
      <c r="IT26" s="755">
        <f t="shared" si="92"/>
        <v>9.5187760000000008</v>
      </c>
      <c r="IU26" s="399">
        <v>0</v>
      </c>
      <c r="IV26" s="399">
        <f t="shared" si="94"/>
        <v>69668</v>
      </c>
      <c r="IW26" s="753">
        <f t="shared" si="95"/>
        <v>0</v>
      </c>
      <c r="IX26" s="753">
        <f t="shared" si="96"/>
        <v>6631.5406967960662</v>
      </c>
      <c r="IY26" s="633">
        <f>IX26/IS26*100</f>
        <v>9.5187757604582686</v>
      </c>
      <c r="IZ26" s="633">
        <f>IY26</f>
        <v>9.5187757604582686</v>
      </c>
      <c r="JA26" s="753">
        <f t="shared" si="99"/>
        <v>6631.5406967960671</v>
      </c>
      <c r="JB26" s="352">
        <f t="shared" si="100"/>
        <v>2.3954173222762165E-7</v>
      </c>
      <c r="JF26" s="727">
        <f t="shared" si="115"/>
        <v>23</v>
      </c>
      <c r="JG26" s="746">
        <f t="shared" si="78"/>
        <v>23</v>
      </c>
      <c r="JH26" s="12" t="s">
        <v>425</v>
      </c>
      <c r="JI26" s="399">
        <v>69668</v>
      </c>
      <c r="JJ26" s="747">
        <f t="shared" si="101"/>
        <v>9.5187757604582686</v>
      </c>
      <c r="JK26" s="747">
        <v>9.8079999999999998</v>
      </c>
      <c r="JL26" s="737">
        <f t="shared" si="117"/>
        <v>-2.9488605173504379E-2</v>
      </c>
      <c r="JM26" s="747">
        <f t="shared" si="102"/>
        <v>-0.28922423954173127</v>
      </c>
      <c r="JN26" s="739">
        <v>10</v>
      </c>
    </row>
    <row r="27" spans="2:275" x14ac:dyDescent="0.3">
      <c r="I27" s="264">
        <f t="shared" si="103"/>
        <v>24</v>
      </c>
      <c r="J27" s="726">
        <f t="shared" si="1"/>
        <v>24</v>
      </c>
      <c r="K27" s="12" t="s">
        <v>426</v>
      </c>
      <c r="L27" s="399">
        <v>97338086</v>
      </c>
      <c r="M27" s="271">
        <f t="shared" si="2"/>
        <v>4.3523585119879693E-2</v>
      </c>
      <c r="N27" s="399">
        <v>1383</v>
      </c>
      <c r="O27" s="399">
        <f t="shared" si="79"/>
        <v>70381.84092552423</v>
      </c>
      <c r="P27" s="271">
        <f t="shared" si="3"/>
        <v>3.8188459510200765E-2</v>
      </c>
      <c r="Q27" s="248" t="s">
        <v>385</v>
      </c>
      <c r="U27" s="727">
        <f t="shared" si="104"/>
        <v>24</v>
      </c>
      <c r="V27" s="728">
        <f t="shared" si="4"/>
        <v>24</v>
      </c>
      <c r="W27" s="12" t="s">
        <v>426</v>
      </c>
      <c r="X27" s="273">
        <f t="shared" si="80"/>
        <v>5796458.2275150437</v>
      </c>
      <c r="Y27" s="271">
        <f t="shared" si="5"/>
        <v>5.5962187679356207E-2</v>
      </c>
      <c r="AC27" s="727">
        <f t="shared" si="105"/>
        <v>24</v>
      </c>
      <c r="AD27" s="68">
        <v>24</v>
      </c>
      <c r="AE27" s="275" t="s">
        <v>426</v>
      </c>
      <c r="AF27" s="301">
        <v>5.52</v>
      </c>
      <c r="AP27" s="727">
        <f t="shared" si="81"/>
        <v>24</v>
      </c>
      <c r="AQ27" s="733">
        <f t="shared" si="6"/>
        <v>24</v>
      </c>
      <c r="AR27" s="12" t="s">
        <v>426</v>
      </c>
      <c r="AS27" s="12">
        <f t="shared" si="7"/>
        <v>5.52</v>
      </c>
      <c r="AT27" s="734">
        <v>97338086</v>
      </c>
      <c r="AU27" s="734">
        <f>AT27*AS27/3600</f>
        <v>149251.73186666664</v>
      </c>
      <c r="AV27" s="735">
        <f t="shared" si="8"/>
        <v>147046.95382131776</v>
      </c>
      <c r="AW27" s="736">
        <f t="shared" si="9"/>
        <v>21.544156020912027</v>
      </c>
      <c r="AX27" s="273">
        <f>AV27*AW27</f>
        <v>3168002.5155263157</v>
      </c>
      <c r="AY27" s="271">
        <f t="shared" si="10"/>
        <v>7.000246921461753E-2</v>
      </c>
      <c r="AZ27" s="269">
        <f t="shared" si="11"/>
        <v>3.2546379999999999</v>
      </c>
      <c r="BD27" s="15"/>
      <c r="BE27" s="15"/>
      <c r="BF27" s="15"/>
      <c r="BG27" s="15"/>
      <c r="BK27" s="264">
        <f t="shared" si="107"/>
        <v>24</v>
      </c>
      <c r="BL27" s="248">
        <f t="shared" si="12"/>
        <v>24</v>
      </c>
      <c r="BM27" s="12" t="s">
        <v>426</v>
      </c>
      <c r="BN27" s="271">
        <f t="shared" si="13"/>
        <v>7.000246921461753E-2</v>
      </c>
      <c r="BO27" s="273">
        <f t="shared" si="14"/>
        <v>648724.7426685252</v>
      </c>
      <c r="BP27" s="271">
        <f t="shared" si="15"/>
        <v>4.3523585119879693E-2</v>
      </c>
      <c r="BQ27" s="273">
        <f t="shared" si="16"/>
        <v>403340.43746859382</v>
      </c>
      <c r="BR27" s="464">
        <f>BQ27+BO27</f>
        <v>1052065.180137119</v>
      </c>
      <c r="BS27" s="269">
        <f t="shared" si="18"/>
        <v>1.0808359999999999</v>
      </c>
      <c r="BV27" s="15"/>
      <c r="BW27" s="205"/>
      <c r="BX27" s="205"/>
      <c r="BY27" s="205"/>
      <c r="BZ27" s="205"/>
      <c r="CA27" s="205"/>
      <c r="CB27" s="205"/>
      <c r="CC27" s="205"/>
      <c r="CD27" s="205"/>
      <c r="CH27" s="264">
        <f t="shared" si="108"/>
        <v>24</v>
      </c>
      <c r="CI27" s="68">
        <f t="shared" si="20"/>
        <v>24</v>
      </c>
      <c r="CJ27" s="12" t="s">
        <v>426</v>
      </c>
      <c r="CK27" s="271">
        <f t="shared" si="21"/>
        <v>4.3523585119879693E-2</v>
      </c>
      <c r="CL27" s="273">
        <f t="shared" si="22"/>
        <v>273182.28682903992</v>
      </c>
      <c r="CM27" s="271">
        <f t="shared" si="23"/>
        <v>3.8188459510200765E-2</v>
      </c>
      <c r="CN27" s="273">
        <f t="shared" si="24"/>
        <v>799294.781832029</v>
      </c>
      <c r="CO27" s="273">
        <f>CN27+CL27</f>
        <v>1072477.068661069</v>
      </c>
      <c r="CP27" s="271">
        <f t="shared" si="26"/>
        <v>3.9419275548543548E-2</v>
      </c>
      <c r="CQ27" s="269">
        <f t="shared" si="27"/>
        <v>1.1018060000000001</v>
      </c>
      <c r="DD27" s="15"/>
      <c r="DG27" s="727">
        <f t="shared" si="109"/>
        <v>24</v>
      </c>
      <c r="DH27" s="740">
        <f t="shared" si="29"/>
        <v>24</v>
      </c>
      <c r="DI27" s="12" t="s">
        <v>426</v>
      </c>
      <c r="DJ27" s="271">
        <f t="shared" si="30"/>
        <v>3.9419275548543548E-2</v>
      </c>
      <c r="DK27" s="273">
        <f t="shared" si="31"/>
        <v>12398.833691539068</v>
      </c>
      <c r="DL27" s="271">
        <f t="shared" si="32"/>
        <v>3.8188459510200765E-2</v>
      </c>
      <c r="DM27" s="273">
        <f t="shared" si="33"/>
        <v>135448.36787764236</v>
      </c>
      <c r="DN27" s="271">
        <f t="shared" si="34"/>
        <v>4.3523585119879693E-2</v>
      </c>
      <c r="DO27" s="273">
        <f t="shared" si="35"/>
        <v>188176.05415407807</v>
      </c>
      <c r="DP27" s="273">
        <f>DK27+DM27+DO27</f>
        <v>336023.25572325953</v>
      </c>
      <c r="DQ27" s="271">
        <f t="shared" si="36"/>
        <v>4.1053946110154227E-2</v>
      </c>
      <c r="DR27" s="269">
        <f t="shared" si="37"/>
        <v>0.34521299999999999</v>
      </c>
      <c r="DV27" s="727">
        <f t="shared" si="110"/>
        <v>24</v>
      </c>
      <c r="DW27" s="740">
        <f t="shared" si="38"/>
        <v>24</v>
      </c>
      <c r="DX27" s="12" t="s">
        <v>426</v>
      </c>
      <c r="DY27" s="271">
        <f t="shared" si="39"/>
        <v>3.8188459510200765E-2</v>
      </c>
      <c r="DZ27" s="273">
        <f t="shared" si="40"/>
        <v>167890.20746728132</v>
      </c>
      <c r="EA27" s="269">
        <f t="shared" si="41"/>
        <v>0.172482</v>
      </c>
      <c r="EM27" s="727">
        <f t="shared" si="111"/>
        <v>24</v>
      </c>
      <c r="EN27" s="740">
        <f t="shared" si="42"/>
        <v>24</v>
      </c>
      <c r="EO27" s="12" t="s">
        <v>426</v>
      </c>
      <c r="EP27" s="271">
        <f t="shared" si="43"/>
        <v>5.5962187679356207E-2</v>
      </c>
      <c r="EQ27" s="273">
        <f t="shared" si="44"/>
        <v>465629.35318891949</v>
      </c>
      <c r="ER27" s="271">
        <f t="shared" si="45"/>
        <v>3.9419275548543548E-2</v>
      </c>
      <c r="ES27" s="273">
        <f t="shared" si="46"/>
        <v>43059.461807966312</v>
      </c>
      <c r="ET27" s="271">
        <f t="shared" si="47"/>
        <v>4.3523585119879693E-2</v>
      </c>
      <c r="EU27" s="273">
        <f t="shared" si="48"/>
        <v>238406.1483293944</v>
      </c>
      <c r="EV27" s="273">
        <f>EQ27+ES27+EU27</f>
        <v>747094.96332628024</v>
      </c>
      <c r="EW27" s="271">
        <f t="shared" si="50"/>
        <v>5.0172912427326556E-2</v>
      </c>
      <c r="EX27" s="269">
        <f t="shared" si="51"/>
        <v>0.76752600000000004</v>
      </c>
      <c r="FH27" s="727">
        <f t="shared" si="112"/>
        <v>24</v>
      </c>
      <c r="FI27" s="728">
        <f t="shared" si="52"/>
        <v>24</v>
      </c>
      <c r="FJ27" s="12" t="s">
        <v>426</v>
      </c>
      <c r="FK27" s="271">
        <f>Y27</f>
        <v>5.5962187679356207E-2</v>
      </c>
      <c r="FL27" s="273">
        <f t="shared" si="54"/>
        <v>1269701.8562723347</v>
      </c>
      <c r="FM27" s="269">
        <f t="shared" si="55"/>
        <v>1.3044249999999999</v>
      </c>
      <c r="FQ27" s="264">
        <f t="shared" si="83"/>
        <v>24</v>
      </c>
      <c r="FR27" s="728">
        <v>24</v>
      </c>
      <c r="FS27" s="12" t="s">
        <v>426</v>
      </c>
      <c r="FT27" s="273">
        <f>VLOOKUP(FR27,$AQ$4:$AZ$28,$FT$34,FALSE)</f>
        <v>3168002.5155263157</v>
      </c>
      <c r="FU27" s="273">
        <f t="shared" si="56"/>
        <v>1052065.180137119</v>
      </c>
      <c r="FV27" s="273">
        <f t="shared" si="57"/>
        <v>1072477.068661069</v>
      </c>
      <c r="FW27" s="273">
        <f t="shared" si="58"/>
        <v>336023.25572325953</v>
      </c>
      <c r="FX27" s="273">
        <f t="shared" si="59"/>
        <v>167890.20746728132</v>
      </c>
      <c r="FY27" s="273">
        <f t="shared" si="60"/>
        <v>747094.96332628024</v>
      </c>
      <c r="FZ27" s="273">
        <f t="shared" si="61"/>
        <v>1269701.8562723347</v>
      </c>
      <c r="GA27" s="273">
        <f>SUM(FT27:FZ27)</f>
        <v>7813255.0471136589</v>
      </c>
      <c r="GB27" s="352">
        <f t="shared" si="63"/>
        <v>8.0269250000000003</v>
      </c>
      <c r="GF27" s="727">
        <f t="shared" si="85"/>
        <v>24</v>
      </c>
      <c r="GG27" s="728">
        <f t="shared" si="64"/>
        <v>24</v>
      </c>
      <c r="GH27" s="12" t="s">
        <v>426</v>
      </c>
      <c r="GI27" s="269">
        <f>VLOOKUP(GG27,$AQ$4:$AZ$28,$GI$32,FALSE)</f>
        <v>3.2546379999999999</v>
      </c>
      <c r="GJ27" s="269">
        <f t="shared" si="65"/>
        <v>1.0808359999999999</v>
      </c>
      <c r="GK27" s="269">
        <f t="shared" si="66"/>
        <v>1.1018060000000001</v>
      </c>
      <c r="GL27" s="269">
        <f t="shared" si="67"/>
        <v>0.34521299999999999</v>
      </c>
      <c r="GM27" s="269">
        <f t="shared" si="68"/>
        <v>0.172482</v>
      </c>
      <c r="GN27" s="269">
        <f t="shared" si="69"/>
        <v>0.76752600000000004</v>
      </c>
      <c r="GO27" s="269">
        <f t="shared" si="70"/>
        <v>1.3044249999999999</v>
      </c>
      <c r="GP27" s="269">
        <f t="shared" si="71"/>
        <v>8.0269250000000003</v>
      </c>
      <c r="GQ27" s="399">
        <v>97338086</v>
      </c>
      <c r="GR27" s="708"/>
      <c r="GU27" s="264">
        <f t="shared" si="87"/>
        <v>24</v>
      </c>
      <c r="GV27" s="728">
        <f t="shared" si="72"/>
        <v>24</v>
      </c>
      <c r="GW27" s="12" t="s">
        <v>426</v>
      </c>
      <c r="GX27" s="248" t="s">
        <v>385</v>
      </c>
      <c r="GY27" s="273">
        <f t="shared" si="73"/>
        <v>7813255.0471136589</v>
      </c>
      <c r="GZ27" s="399">
        <f t="shared" si="74"/>
        <v>97338086</v>
      </c>
      <c r="HA27" s="352">
        <f t="shared" si="88"/>
        <v>8.0269250000000003</v>
      </c>
      <c r="HB27" s="273">
        <f>ROUND(HA27,10)*GZ27/100</f>
        <v>7813255.1596555002</v>
      </c>
      <c r="HC27" s="742">
        <f>HB27-GY27</f>
        <v>0.11254184134304523</v>
      </c>
      <c r="HD27" s="743"/>
      <c r="HG27" s="743"/>
      <c r="HH27" s="743"/>
      <c r="HI27" s="743"/>
      <c r="HJ27" s="743"/>
      <c r="HK27" s="743"/>
      <c r="HL27" s="743"/>
      <c r="HM27" s="743"/>
      <c r="HP27" s="727">
        <f t="shared" si="113"/>
        <v>24</v>
      </c>
      <c r="HQ27" s="746">
        <f t="shared" si="77"/>
        <v>24</v>
      </c>
      <c r="HR27" s="12" t="s">
        <v>426</v>
      </c>
      <c r="HS27" s="399">
        <v>97338086</v>
      </c>
      <c r="HT27" s="747">
        <f>HA27</f>
        <v>8.0269250000000003</v>
      </c>
      <c r="HU27" s="747">
        <v>6.2359999999999998</v>
      </c>
      <c r="HV27" s="737">
        <f>IF(HU27&lt;&gt;0,HT27/HU27-1,"")</f>
        <v>0.28719130853110975</v>
      </c>
      <c r="HW27" s="747">
        <f>HT27-HU27</f>
        <v>1.7909250000000005</v>
      </c>
      <c r="HX27" s="739">
        <v>10</v>
      </c>
      <c r="IO27" s="727">
        <f t="shared" si="114"/>
        <v>24</v>
      </c>
      <c r="IP27" s="746">
        <v>24</v>
      </c>
      <c r="IQ27" s="12" t="s">
        <v>426</v>
      </c>
      <c r="IR27" s="753">
        <f>GY27</f>
        <v>7813255.0471136589</v>
      </c>
      <c r="IS27" s="754">
        <f>GZ27</f>
        <v>97338086</v>
      </c>
      <c r="IT27" s="755">
        <f>HA27</f>
        <v>8.0269250000000003</v>
      </c>
      <c r="IU27" s="399">
        <f t="shared" si="93"/>
        <v>13959133.641351433</v>
      </c>
      <c r="IV27" s="399">
        <f>IS27-IU27</f>
        <v>83378952.358648568</v>
      </c>
      <c r="IW27" s="753">
        <f>IU27*$IH$4</f>
        <v>209387.0046202715</v>
      </c>
      <c r="IX27" s="753">
        <f>IR27-IW27</f>
        <v>7603868.0424933871</v>
      </c>
      <c r="IY27" s="633">
        <f>IX27/IS27*100</f>
        <v>7.8118117532056122</v>
      </c>
      <c r="IZ27" s="633">
        <f>IY27+1.5</f>
        <v>9.3118117532056122</v>
      </c>
      <c r="JA27" s="753">
        <f>(IY27*IV27+IZ27*IU27)/100</f>
        <v>7813255.0471136579</v>
      </c>
      <c r="JB27" s="352">
        <f>IT27-IY27</f>
        <v>0.21511324679438815</v>
      </c>
      <c r="JF27" s="727">
        <f t="shared" si="115"/>
        <v>24</v>
      </c>
      <c r="JG27" s="746">
        <f t="shared" si="78"/>
        <v>24</v>
      </c>
      <c r="JH27" s="12" t="s">
        <v>426</v>
      </c>
      <c r="JI27" s="399">
        <v>97338086</v>
      </c>
      <c r="JJ27" s="747">
        <f>IY27</f>
        <v>7.8118117532056122</v>
      </c>
      <c r="JK27" s="747">
        <v>6.0170000000000003</v>
      </c>
      <c r="JL27" s="737">
        <f>IF(JK27&lt;&gt;0,JJ27/JK27-1,"")</f>
        <v>0.29829013681329752</v>
      </c>
      <c r="JM27" s="747">
        <f>JJ27-JK27</f>
        <v>1.7948117532056118</v>
      </c>
      <c r="JN27" s="739">
        <v>10</v>
      </c>
    </row>
    <row r="28" spans="2:275" ht="17.25" thickBot="1" x14ac:dyDescent="0.35">
      <c r="F28" s="15"/>
      <c r="G28" s="791"/>
      <c r="H28" s="15"/>
      <c r="I28" s="400">
        <f t="shared" si="103"/>
        <v>25</v>
      </c>
      <c r="J28" s="792">
        <f t="shared" si="1"/>
        <v>25</v>
      </c>
      <c r="K28" s="531" t="s">
        <v>427</v>
      </c>
      <c r="L28" s="793">
        <v>582384</v>
      </c>
      <c r="M28" s="522">
        <f t="shared" si="2"/>
        <v>2.6040618465064143E-4</v>
      </c>
      <c r="N28" s="793">
        <v>234</v>
      </c>
      <c r="O28" s="793">
        <f t="shared" si="79"/>
        <v>2488.8205128205127</v>
      </c>
      <c r="P28" s="522">
        <f t="shared" si="3"/>
        <v>1.3504082890155708E-3</v>
      </c>
      <c r="Q28" s="519" t="s">
        <v>385</v>
      </c>
      <c r="R28" s="15"/>
      <c r="S28" s="791"/>
      <c r="T28" s="15"/>
      <c r="U28" s="794">
        <f t="shared" si="104"/>
        <v>25</v>
      </c>
      <c r="V28" s="795">
        <f>FR28</f>
        <v>25</v>
      </c>
      <c r="W28" s="531" t="s">
        <v>427</v>
      </c>
      <c r="X28" s="402">
        <f>SUM(FT28:FX28)</f>
        <v>86582.843934388715</v>
      </c>
      <c r="Y28" s="522">
        <f t="shared" si="5"/>
        <v>8.359182748990309E-4</v>
      </c>
      <c r="AC28" s="777">
        <f t="shared" si="105"/>
        <v>25</v>
      </c>
      <c r="AD28" s="796">
        <v>25</v>
      </c>
      <c r="AE28" s="797" t="s">
        <v>427</v>
      </c>
      <c r="AF28" s="798">
        <v>10.17</v>
      </c>
      <c r="AG28" s="15"/>
      <c r="AH28" s="791"/>
      <c r="AI28" s="15"/>
      <c r="AJ28" s="15"/>
      <c r="AK28" s="15"/>
      <c r="AL28" s="15"/>
      <c r="AP28" s="794">
        <f t="shared" si="81"/>
        <v>25</v>
      </c>
      <c r="AQ28" s="799">
        <f>FR28</f>
        <v>25</v>
      </c>
      <c r="AR28" s="531" t="s">
        <v>427</v>
      </c>
      <c r="AS28" s="531">
        <f t="shared" si="7"/>
        <v>10.17</v>
      </c>
      <c r="AT28" s="800">
        <v>582384</v>
      </c>
      <c r="AU28" s="800">
        <f t="shared" si="106"/>
        <v>1645.2348000000002</v>
      </c>
      <c r="AV28" s="801">
        <f t="shared" si="8"/>
        <v>1620.9310447194621</v>
      </c>
      <c r="AW28" s="802">
        <f t="shared" si="9"/>
        <v>21.544156020912027</v>
      </c>
      <c r="AX28" s="402">
        <f t="shared" si="116"/>
        <v>34921.591326576017</v>
      </c>
      <c r="AY28" s="522">
        <f t="shared" si="10"/>
        <v>7.7165267697331969E-4</v>
      </c>
      <c r="AZ28" s="521">
        <f t="shared" si="11"/>
        <v>5.9963170000000003</v>
      </c>
      <c r="BA28" s="15"/>
      <c r="BB28" s="791"/>
      <c r="BC28" s="15"/>
      <c r="BD28" s="708"/>
      <c r="BE28" s="708"/>
      <c r="BF28" s="708"/>
      <c r="BG28" s="708"/>
      <c r="BH28" s="15"/>
      <c r="BI28" s="791"/>
      <c r="BJ28" s="15"/>
      <c r="BK28" s="400">
        <f t="shared" si="107"/>
        <v>25</v>
      </c>
      <c r="BL28" s="519">
        <f>FR28</f>
        <v>25</v>
      </c>
      <c r="BM28" s="531" t="s">
        <v>427</v>
      </c>
      <c r="BN28" s="522">
        <f t="shared" si="13"/>
        <v>7.7165267697331969E-4</v>
      </c>
      <c r="BO28" s="402">
        <f t="shared" si="14"/>
        <v>7151.0360979447414</v>
      </c>
      <c r="BP28" s="522">
        <f t="shared" si="15"/>
        <v>2.6040618465064143E-4</v>
      </c>
      <c r="BQ28" s="402">
        <f t="shared" si="16"/>
        <v>2413.228233547859</v>
      </c>
      <c r="BR28" s="758">
        <f t="shared" si="17"/>
        <v>9564.2643314926008</v>
      </c>
      <c r="BS28" s="521">
        <f t="shared" si="18"/>
        <v>1.642261</v>
      </c>
      <c r="BT28" s="15"/>
      <c r="BU28" s="791"/>
      <c r="BV28" s="15"/>
      <c r="BW28" s="205"/>
      <c r="BX28" s="205"/>
      <c r="BY28" s="205"/>
      <c r="BZ28" s="205"/>
      <c r="CA28" s="205"/>
      <c r="CB28" s="205"/>
      <c r="CC28" s="205"/>
      <c r="CD28" s="205"/>
      <c r="CE28" s="15"/>
      <c r="CF28" s="791"/>
      <c r="CH28" s="400">
        <f t="shared" si="108"/>
        <v>25</v>
      </c>
      <c r="CI28" s="803">
        <f>FR28</f>
        <v>25</v>
      </c>
      <c r="CJ28" s="531" t="s">
        <v>427</v>
      </c>
      <c r="CK28" s="522">
        <f t="shared" si="21"/>
        <v>2.6040618465064143E-4</v>
      </c>
      <c r="CL28" s="402">
        <f t="shared" si="22"/>
        <v>1634.4783370061705</v>
      </c>
      <c r="CM28" s="522">
        <f t="shared" si="23"/>
        <v>1.3504082890155708E-3</v>
      </c>
      <c r="CN28" s="402">
        <f t="shared" si="24"/>
        <v>28264.410573161393</v>
      </c>
      <c r="CO28" s="402">
        <f t="shared" si="25"/>
        <v>29898.888910167563</v>
      </c>
      <c r="CP28" s="522">
        <f t="shared" si="26"/>
        <v>1.0989442804745452E-3</v>
      </c>
      <c r="CQ28" s="521">
        <f t="shared" si="27"/>
        <v>5.1338790000000003</v>
      </c>
      <c r="CS28" s="791"/>
      <c r="CT28" s="15"/>
      <c r="DD28" s="15"/>
      <c r="DE28" s="791"/>
      <c r="DF28" s="693"/>
      <c r="DG28" s="794">
        <f t="shared" si="109"/>
        <v>25</v>
      </c>
      <c r="DH28" s="804">
        <f>FR28</f>
        <v>25</v>
      </c>
      <c r="DI28" s="531" t="s">
        <v>427</v>
      </c>
      <c r="DJ28" s="522">
        <f t="shared" si="30"/>
        <v>1.0989442804745452E-3</v>
      </c>
      <c r="DK28" s="402">
        <f t="shared" si="31"/>
        <v>345.65900007706728</v>
      </c>
      <c r="DL28" s="522">
        <f t="shared" si="32"/>
        <v>1.3504082890155708E-3</v>
      </c>
      <c r="DM28" s="402">
        <f t="shared" si="33"/>
        <v>4789.6825654027807</v>
      </c>
      <c r="DN28" s="522">
        <f t="shared" si="34"/>
        <v>2.6040618465064143E-4</v>
      </c>
      <c r="DO28" s="402">
        <f t="shared" si="35"/>
        <v>1125.8771116833816</v>
      </c>
      <c r="DP28" s="402">
        <f t="shared" si="82"/>
        <v>6261.2186771632296</v>
      </c>
      <c r="DQ28" s="522">
        <f t="shared" si="36"/>
        <v>7.6497007209479738E-4</v>
      </c>
      <c r="DR28" s="521">
        <f t="shared" si="37"/>
        <v>1.0751010000000001</v>
      </c>
      <c r="DS28" s="708"/>
      <c r="DT28" s="791"/>
      <c r="DU28" s="708"/>
      <c r="DV28" s="794">
        <f t="shared" si="110"/>
        <v>25</v>
      </c>
      <c r="DW28" s="804">
        <f>GG28</f>
        <v>25</v>
      </c>
      <c r="DX28" s="531" t="s">
        <v>427</v>
      </c>
      <c r="DY28" s="522">
        <f t="shared" si="39"/>
        <v>1.3504082890155708E-3</v>
      </c>
      <c r="DZ28" s="402">
        <f t="shared" si="40"/>
        <v>5936.8806889892967</v>
      </c>
      <c r="EA28" s="521">
        <f t="shared" si="41"/>
        <v>1.0194099999999999</v>
      </c>
      <c r="EB28" s="708"/>
      <c r="EC28" s="791"/>
      <c r="ED28" s="15"/>
      <c r="EJ28" s="15"/>
      <c r="EK28" s="791"/>
      <c r="EL28" s="15"/>
      <c r="EM28" s="794">
        <f t="shared" si="111"/>
        <v>25</v>
      </c>
      <c r="EN28" s="804">
        <f>FR28</f>
        <v>25</v>
      </c>
      <c r="EO28" s="531" t="s">
        <v>427</v>
      </c>
      <c r="EP28" s="522">
        <f t="shared" si="43"/>
        <v>8.359182748990309E-4</v>
      </c>
      <c r="EQ28" s="402">
        <f t="shared" si="44"/>
        <v>6955.1978183943447</v>
      </c>
      <c r="ER28" s="522">
        <f t="shared" si="45"/>
        <v>1.0989442804745452E-3</v>
      </c>
      <c r="ES28" s="402">
        <f t="shared" si="46"/>
        <v>1200.4266596909863</v>
      </c>
      <c r="ET28" s="522">
        <f t="shared" si="47"/>
        <v>2.6040618465064143E-4</v>
      </c>
      <c r="EU28" s="402">
        <f t="shared" si="48"/>
        <v>1426.4090449514904</v>
      </c>
      <c r="EV28" s="402">
        <f t="shared" si="49"/>
        <v>9582.0335230368219</v>
      </c>
      <c r="EW28" s="522">
        <f t="shared" si="50"/>
        <v>6.4350390837405666E-4</v>
      </c>
      <c r="EX28" s="521">
        <f t="shared" si="51"/>
        <v>1.6453120000000001</v>
      </c>
      <c r="EY28" s="15"/>
      <c r="EZ28" s="791"/>
      <c r="FA28" s="15"/>
      <c r="FE28" s="15"/>
      <c r="FF28" s="791"/>
      <c r="FG28" s="708"/>
      <c r="FH28" s="794">
        <f t="shared" si="112"/>
        <v>25</v>
      </c>
      <c r="FI28" s="795">
        <f t="shared" si="52"/>
        <v>25</v>
      </c>
      <c r="FJ28" s="531" t="s">
        <v>427</v>
      </c>
      <c r="FK28" s="522">
        <f>Y28</f>
        <v>8.359182748990309E-4</v>
      </c>
      <c r="FL28" s="402">
        <f t="shared" si="54"/>
        <v>18965.787960480196</v>
      </c>
      <c r="FM28" s="521">
        <f t="shared" si="55"/>
        <v>3.2565780000000002</v>
      </c>
      <c r="FQ28" s="400">
        <f t="shared" si="83"/>
        <v>25</v>
      </c>
      <c r="FR28" s="795">
        <v>25</v>
      </c>
      <c r="FS28" s="531" t="s">
        <v>427</v>
      </c>
      <c r="FT28" s="402">
        <f t="shared" si="84"/>
        <v>34921.591326576017</v>
      </c>
      <c r="FU28" s="402">
        <f t="shared" si="56"/>
        <v>9564.2643314926008</v>
      </c>
      <c r="FV28" s="402">
        <f t="shared" si="57"/>
        <v>29898.888910167563</v>
      </c>
      <c r="FW28" s="402">
        <f t="shared" si="58"/>
        <v>6261.2186771632296</v>
      </c>
      <c r="FX28" s="402">
        <f t="shared" si="59"/>
        <v>5936.8806889892967</v>
      </c>
      <c r="FY28" s="402">
        <f t="shared" si="60"/>
        <v>9582.0335230368219</v>
      </c>
      <c r="FZ28" s="402">
        <f t="shared" si="61"/>
        <v>18965.787960480196</v>
      </c>
      <c r="GA28" s="402">
        <f>SUM(FT28:FZ28)</f>
        <v>115130.66541790574</v>
      </c>
      <c r="GB28" s="805">
        <f t="shared" si="63"/>
        <v>19.768858000000002</v>
      </c>
      <c r="GF28" s="794">
        <f t="shared" si="85"/>
        <v>25</v>
      </c>
      <c r="GG28" s="795">
        <f t="shared" si="64"/>
        <v>25</v>
      </c>
      <c r="GH28" s="531" t="s">
        <v>427</v>
      </c>
      <c r="GI28" s="521">
        <f t="shared" si="86"/>
        <v>5.9963170000000003</v>
      </c>
      <c r="GJ28" s="521">
        <f t="shared" si="65"/>
        <v>1.642261</v>
      </c>
      <c r="GK28" s="521">
        <f t="shared" si="66"/>
        <v>5.1338790000000003</v>
      </c>
      <c r="GL28" s="521">
        <f t="shared" si="67"/>
        <v>1.0751010000000001</v>
      </c>
      <c r="GM28" s="521">
        <f t="shared" si="68"/>
        <v>1.0194099999999999</v>
      </c>
      <c r="GN28" s="521">
        <f t="shared" si="69"/>
        <v>1.6453120000000001</v>
      </c>
      <c r="GO28" s="521">
        <f t="shared" si="70"/>
        <v>3.2565780000000002</v>
      </c>
      <c r="GP28" s="521">
        <f t="shared" si="71"/>
        <v>19.768858000000002</v>
      </c>
      <c r="GQ28" s="793">
        <v>582384</v>
      </c>
      <c r="GR28" s="708"/>
      <c r="GU28" s="400">
        <f t="shared" si="87"/>
        <v>25</v>
      </c>
      <c r="GV28" s="795">
        <f t="shared" si="72"/>
        <v>25</v>
      </c>
      <c r="GW28" s="531" t="s">
        <v>427</v>
      </c>
      <c r="GX28" s="519" t="s">
        <v>385</v>
      </c>
      <c r="GY28" s="402">
        <f t="shared" si="73"/>
        <v>115130.66541790574</v>
      </c>
      <c r="GZ28" s="793">
        <f t="shared" si="74"/>
        <v>582384</v>
      </c>
      <c r="HA28" s="805">
        <f t="shared" si="88"/>
        <v>19.768858000000002</v>
      </c>
      <c r="HB28" s="402">
        <f t="shared" si="75"/>
        <v>115130.66597472</v>
      </c>
      <c r="HC28" s="762">
        <f t="shared" si="76"/>
        <v>5.5681426601950079E-4</v>
      </c>
      <c r="HD28" s="743"/>
      <c r="HG28" s="743"/>
      <c r="HH28" s="743"/>
      <c r="HI28" s="743"/>
      <c r="HJ28" s="743"/>
      <c r="HK28" s="743"/>
      <c r="HL28" s="743"/>
      <c r="HM28" s="743"/>
      <c r="HP28" s="794">
        <f t="shared" si="113"/>
        <v>25</v>
      </c>
      <c r="HQ28" s="806">
        <f t="shared" si="77"/>
        <v>25</v>
      </c>
      <c r="HR28" s="531" t="s">
        <v>427</v>
      </c>
      <c r="HS28" s="793">
        <v>582384</v>
      </c>
      <c r="HT28" s="807">
        <f t="shared" si="89"/>
        <v>19.768858000000002</v>
      </c>
      <c r="HU28" s="807">
        <v>18.972000000000001</v>
      </c>
      <c r="HV28" s="770">
        <f t="shared" si="90"/>
        <v>4.2001792114695347E-2</v>
      </c>
      <c r="HW28" s="807">
        <f t="shared" si="91"/>
        <v>0.79685800000000029</v>
      </c>
      <c r="HX28" s="783">
        <v>25</v>
      </c>
      <c r="IO28" s="794">
        <f t="shared" si="114"/>
        <v>25</v>
      </c>
      <c r="IP28" s="806">
        <v>25</v>
      </c>
      <c r="IQ28" s="531" t="s">
        <v>427</v>
      </c>
      <c r="IR28" s="808">
        <f t="shared" si="92"/>
        <v>115130.66541790574</v>
      </c>
      <c r="IS28" s="809">
        <f t="shared" si="92"/>
        <v>582384</v>
      </c>
      <c r="IT28" s="810">
        <f t="shared" si="92"/>
        <v>19.768858000000002</v>
      </c>
      <c r="IU28" s="793">
        <f t="shared" si="93"/>
        <v>83518.963857423834</v>
      </c>
      <c r="IV28" s="793">
        <f t="shared" si="94"/>
        <v>498865.03614257614</v>
      </c>
      <c r="IW28" s="808">
        <f t="shared" si="95"/>
        <v>1252.7844578613574</v>
      </c>
      <c r="IX28" s="808">
        <f t="shared" si="96"/>
        <v>113877.88096004438</v>
      </c>
      <c r="IY28" s="811">
        <f>IX28/IS28*100</f>
        <v>19.553744773215676</v>
      </c>
      <c r="IZ28" s="811">
        <f>IY28+1.5</f>
        <v>21.053744773215676</v>
      </c>
      <c r="JA28" s="808">
        <f t="shared" si="99"/>
        <v>115130.66541790572</v>
      </c>
      <c r="JB28" s="805">
        <f t="shared" si="100"/>
        <v>0.21511322678432521</v>
      </c>
      <c r="JF28" s="794">
        <f t="shared" si="115"/>
        <v>25</v>
      </c>
      <c r="JG28" s="806">
        <f t="shared" si="78"/>
        <v>25</v>
      </c>
      <c r="JH28" s="531" t="s">
        <v>427</v>
      </c>
      <c r="JI28" s="793">
        <v>582384</v>
      </c>
      <c r="JJ28" s="807">
        <f t="shared" si="101"/>
        <v>19.553744773215676</v>
      </c>
      <c r="JK28" s="807">
        <v>18.753</v>
      </c>
      <c r="JL28" s="770">
        <f t="shared" si="117"/>
        <v>4.2699555975879822E-2</v>
      </c>
      <c r="JM28" s="807">
        <f t="shared" si="102"/>
        <v>0.80074477321567628</v>
      </c>
      <c r="JN28" s="783">
        <v>25</v>
      </c>
    </row>
    <row r="29" spans="2:275" ht="17.25" thickBot="1" x14ac:dyDescent="0.35">
      <c r="F29" s="708"/>
      <c r="G29" s="812"/>
      <c r="H29" s="708"/>
      <c r="I29" s="777">
        <f t="shared" si="103"/>
        <v>26</v>
      </c>
      <c r="J29" s="591"/>
      <c r="K29" s="773" t="s">
        <v>72</v>
      </c>
      <c r="L29" s="813">
        <f>SUM(L4:L28)</f>
        <v>2236444579</v>
      </c>
      <c r="M29" s="767">
        <f>SUM(M4:M28)</f>
        <v>0.99999999999999989</v>
      </c>
      <c r="N29" s="813">
        <f>SUM(N4:N28)</f>
        <v>18339.7</v>
      </c>
      <c r="O29" s="813">
        <f>SUM(O4:O28)</f>
        <v>1843013.3560827214</v>
      </c>
      <c r="P29" s="767">
        <f>SUM(P4:P28)</f>
        <v>1.0000000000000002</v>
      </c>
      <c r="Q29" s="814"/>
      <c r="R29" s="708"/>
      <c r="S29" s="812"/>
      <c r="T29" s="708"/>
      <c r="U29" s="777">
        <f t="shared" si="104"/>
        <v>26</v>
      </c>
      <c r="V29" s="815"/>
      <c r="W29" s="816" t="s">
        <v>72</v>
      </c>
      <c r="X29" s="367">
        <f>SUM(X4:X28)</f>
        <v>103578120.65401596</v>
      </c>
      <c r="Y29" s="767">
        <f>SUM(Y4:Y28)</f>
        <v>0.99999999999999989</v>
      </c>
      <c r="Z29" s="15"/>
      <c r="AA29" s="791"/>
      <c r="AB29" s="15"/>
      <c r="AG29" s="708"/>
      <c r="AH29" s="812"/>
      <c r="AI29" s="708"/>
      <c r="AJ29" s="708"/>
      <c r="AK29" s="708"/>
      <c r="AL29" s="708"/>
      <c r="AP29" s="777">
        <f t="shared" si="81"/>
        <v>26</v>
      </c>
      <c r="AQ29" s="817"/>
      <c r="AR29" s="818" t="s">
        <v>72</v>
      </c>
      <c r="AS29" s="819">
        <f>AL7</f>
        <v>3.432024506523665</v>
      </c>
      <c r="AT29" s="813">
        <f>SUM(AT4:AT28)</f>
        <v>2236444579</v>
      </c>
      <c r="AU29" s="813">
        <f>SUM(AU4:AU28)</f>
        <v>2132092.3896138892</v>
      </c>
      <c r="AV29" s="813">
        <f>SUM(AV4:AV28)</f>
        <v>2100596.6713901595</v>
      </c>
      <c r="AW29" s="820">
        <f>SUMPRODUCT(AW4:AW28,AT4:AT28)/AT29</f>
        <v>21.544156020912027</v>
      </c>
      <c r="AX29" s="821">
        <f>SUM(AX4:AX28)</f>
        <v>45255582.425438084</v>
      </c>
      <c r="AY29" s="822">
        <f t="shared" si="10"/>
        <v>1</v>
      </c>
      <c r="AZ29" s="823">
        <f>AX29*100/$L$29</f>
        <v>2.0235503642873005</v>
      </c>
      <c r="BA29" s="708"/>
      <c r="BB29" s="812"/>
      <c r="BC29" s="708"/>
      <c r="BD29" s="708"/>
      <c r="BE29" s="708"/>
      <c r="BF29" s="708"/>
      <c r="BG29" s="708"/>
      <c r="BH29" s="708"/>
      <c r="BI29" s="812"/>
      <c r="BJ29" s="708"/>
      <c r="BK29" s="360">
        <f t="shared" si="107"/>
        <v>26</v>
      </c>
      <c r="BL29" s="824"/>
      <c r="BM29" s="825" t="s">
        <v>72</v>
      </c>
      <c r="BN29" s="826">
        <f>SUM(BN4:BN28)</f>
        <v>0.99999999999999989</v>
      </c>
      <c r="BO29" s="363">
        <f>BG4</f>
        <v>9267169.4291186817</v>
      </c>
      <c r="BP29" s="826">
        <f>SUM(BP4:BP28)</f>
        <v>0.99999999999999989</v>
      </c>
      <c r="BQ29" s="363">
        <f>BG5</f>
        <v>9267169.4291186817</v>
      </c>
      <c r="BR29" s="827">
        <f>C6</f>
        <v>18534338.858237363</v>
      </c>
      <c r="BS29" s="828">
        <f>BR29*100/$L$29</f>
        <v>0.82874125441216062</v>
      </c>
      <c r="BT29" s="708"/>
      <c r="BU29" s="812"/>
      <c r="BV29" s="829"/>
      <c r="BW29" s="205"/>
      <c r="BX29" s="205"/>
      <c r="BY29" s="205"/>
      <c r="BZ29" s="205"/>
      <c r="CA29" s="205"/>
      <c r="CB29" s="205"/>
      <c r="CC29" s="205"/>
      <c r="CD29" s="205"/>
      <c r="CE29" s="708"/>
      <c r="CF29" s="812"/>
      <c r="CG29" s="15"/>
      <c r="CH29" s="360">
        <f t="shared" si="108"/>
        <v>26</v>
      </c>
      <c r="CI29" s="815"/>
      <c r="CJ29" s="773" t="s">
        <v>72</v>
      </c>
      <c r="CK29" s="516">
        <f>SUM(CK4:CK28)</f>
        <v>0.99999999999999989</v>
      </c>
      <c r="CL29" s="363">
        <f>CC9</f>
        <v>6276649.4551539617</v>
      </c>
      <c r="CM29" s="516">
        <f>SUM(CM4:CM28)</f>
        <v>1.0000000000000002</v>
      </c>
      <c r="CN29" s="363">
        <f>CD9</f>
        <v>20930270.350877188</v>
      </c>
      <c r="CO29" s="363">
        <f>SUM(CO4:CO28)</f>
        <v>27206919.806031156</v>
      </c>
      <c r="CP29" s="516">
        <f>SUM(CP4:CP28)</f>
        <v>1</v>
      </c>
      <c r="CQ29" s="828">
        <f>CO29*100/$L$29</f>
        <v>1.2165255540647653</v>
      </c>
      <c r="CR29" s="15"/>
      <c r="CS29" s="812"/>
      <c r="CT29" s="708"/>
      <c r="DD29" s="829"/>
      <c r="DE29" s="812"/>
      <c r="DF29" s="708"/>
      <c r="DG29" s="777">
        <f t="shared" si="109"/>
        <v>26</v>
      </c>
      <c r="DH29" s="817"/>
      <c r="DI29" s="818" t="s">
        <v>72</v>
      </c>
      <c r="DJ29" s="516">
        <f>SUM(DJ4:DJ28)</f>
        <v>1</v>
      </c>
      <c r="DK29" s="363">
        <f>CZ7</f>
        <v>314537.33025281783</v>
      </c>
      <c r="DL29" s="516">
        <f>SUM(DL4:DL28)</f>
        <v>1.0000000000000002</v>
      </c>
      <c r="DM29" s="363">
        <f>DA7</f>
        <v>3546840.318119192</v>
      </c>
      <c r="DN29" s="516">
        <f>SUM(DN4:DN28)</f>
        <v>0.99999999999999989</v>
      </c>
      <c r="DO29" s="363">
        <f>DB7</f>
        <v>4323542.1355059138</v>
      </c>
      <c r="DP29" s="363">
        <f>SUM(DP4:DP28)</f>
        <v>8184919.783877925</v>
      </c>
      <c r="DQ29" s="516">
        <f>SUM(DQ4:DQ28)</f>
        <v>0.99999999999999989</v>
      </c>
      <c r="DR29" s="828">
        <f>DP29*100/$L$29</f>
        <v>0.36597910186255167</v>
      </c>
      <c r="DS29" s="708"/>
      <c r="DT29" s="812"/>
      <c r="DU29" s="708"/>
      <c r="DV29" s="777">
        <f t="shared" si="110"/>
        <v>26</v>
      </c>
      <c r="DW29" s="817"/>
      <c r="DX29" s="818" t="s">
        <v>72</v>
      </c>
      <c r="DY29" s="516">
        <f>SUM(DY4:DY28)</f>
        <v>1.0000000000000002</v>
      </c>
      <c r="DZ29" s="363">
        <f>C9</f>
        <v>4396359.7804314438</v>
      </c>
      <c r="EA29" s="828">
        <f>DZ29*100/$L$29</f>
        <v>0.19657807851412196</v>
      </c>
      <c r="EB29" s="708"/>
      <c r="EC29" s="812"/>
      <c r="ED29" s="708"/>
      <c r="EJ29" s="708"/>
      <c r="EK29" s="812"/>
      <c r="EL29" s="708"/>
      <c r="EM29" s="777">
        <f t="shared" si="111"/>
        <v>26</v>
      </c>
      <c r="EN29" s="817"/>
      <c r="EO29" s="818" t="s">
        <v>72</v>
      </c>
      <c r="EP29" s="516">
        <f>SUM(EP4:EP28)</f>
        <v>0.99999999999999989</v>
      </c>
      <c r="EQ29" s="363">
        <f>EI4</f>
        <v>8320427.997861933</v>
      </c>
      <c r="ER29" s="516">
        <f>SUM(ER4:ER28)</f>
        <v>1</v>
      </c>
      <c r="ES29" s="363">
        <f>EI5</f>
        <v>1092345.3363555602</v>
      </c>
      <c r="ET29" s="516">
        <f>SUM(ET4:ET28)</f>
        <v>0.99999999999999989</v>
      </c>
      <c r="EU29" s="363">
        <f>EI6</f>
        <v>5477631.212427415</v>
      </c>
      <c r="EV29" s="363">
        <f>SUM(EV4:EV28)</f>
        <v>14890404.546644909</v>
      </c>
      <c r="EW29" s="516">
        <f>SUM(EW4:EW28)</f>
        <v>0.99999999999999989</v>
      </c>
      <c r="EX29" s="828">
        <f>EV29*100/$L$29</f>
        <v>0.66580699948768596</v>
      </c>
      <c r="EY29" s="708"/>
      <c r="EZ29" s="812"/>
      <c r="FA29" s="708"/>
      <c r="FE29" s="708"/>
      <c r="FF29" s="812"/>
      <c r="FG29" s="708"/>
      <c r="FH29" s="777">
        <f t="shared" si="112"/>
        <v>26</v>
      </c>
      <c r="FI29" s="830"/>
      <c r="FJ29" s="513" t="s">
        <v>72</v>
      </c>
      <c r="FK29" s="516">
        <f>Y29</f>
        <v>0.99999999999999989</v>
      </c>
      <c r="FL29" s="363">
        <f>FD6</f>
        <v>22688567.208045598</v>
      </c>
      <c r="FM29" s="828">
        <f>FL29*100/$L$29</f>
        <v>1.0144927095931222</v>
      </c>
      <c r="FN29" s="15"/>
      <c r="FQ29" s="360">
        <f t="shared" si="83"/>
        <v>26</v>
      </c>
      <c r="FR29" s="831"/>
      <c r="FS29" s="825" t="s">
        <v>72</v>
      </c>
      <c r="FT29" s="363">
        <f t="shared" ref="FT29:FZ29" si="118">SUM(FT4:FT28)</f>
        <v>45255582.425438084</v>
      </c>
      <c r="FU29" s="363">
        <f t="shared" si="118"/>
        <v>18534338.858237363</v>
      </c>
      <c r="FV29" s="363">
        <f t="shared" si="118"/>
        <v>27206919.806031156</v>
      </c>
      <c r="FW29" s="363">
        <f t="shared" si="118"/>
        <v>8184919.783877925</v>
      </c>
      <c r="FX29" s="363">
        <f t="shared" si="118"/>
        <v>4396359.7804314448</v>
      </c>
      <c r="FY29" s="363">
        <f t="shared" si="118"/>
        <v>14890404.546644909</v>
      </c>
      <c r="FZ29" s="363">
        <f t="shared" si="118"/>
        <v>22688567.208045591</v>
      </c>
      <c r="GA29" s="363">
        <f>SUM(FT29:FZ29)</f>
        <v>141157092.40870649</v>
      </c>
      <c r="GB29" s="832">
        <v>6.3116740622217087</v>
      </c>
      <c r="GC29" s="15"/>
      <c r="GF29" s="777">
        <f t="shared" si="85"/>
        <v>26</v>
      </c>
      <c r="GG29" s="833"/>
      <c r="GH29" s="773" t="s">
        <v>72</v>
      </c>
      <c r="GI29" s="828">
        <f t="shared" ref="GI29:GP29" si="119">FT29*100/$GQ$29</f>
        <v>2.0235503642873005</v>
      </c>
      <c r="GJ29" s="828">
        <f t="shared" si="119"/>
        <v>0.82874125441216062</v>
      </c>
      <c r="GK29" s="828">
        <f t="shared" si="119"/>
        <v>1.2165255540647653</v>
      </c>
      <c r="GL29" s="828">
        <f t="shared" si="119"/>
        <v>0.36597910186255167</v>
      </c>
      <c r="GM29" s="828">
        <f t="shared" si="119"/>
        <v>0.19657807851412198</v>
      </c>
      <c r="GN29" s="828">
        <f t="shared" si="119"/>
        <v>0.66580699948768596</v>
      </c>
      <c r="GO29" s="828">
        <f t="shared" si="119"/>
        <v>1.0144927095931222</v>
      </c>
      <c r="GP29" s="832">
        <f t="shared" si="119"/>
        <v>6.3116740622217087</v>
      </c>
      <c r="GQ29" s="813">
        <f>SUM(GQ4:GQ28)</f>
        <v>2236444579</v>
      </c>
      <c r="GR29" s="834"/>
      <c r="GU29" s="360">
        <f t="shared" si="87"/>
        <v>26</v>
      </c>
      <c r="GV29" s="831"/>
      <c r="GW29" s="825" t="s">
        <v>72</v>
      </c>
      <c r="GX29" s="591"/>
      <c r="GY29" s="363">
        <f>SUM(GY4:GY28)</f>
        <v>141157092.40870649</v>
      </c>
      <c r="GZ29" s="835">
        <f>SUM(GZ4:GZ28)</f>
        <v>2236444579</v>
      </c>
      <c r="HA29" s="832">
        <f>IF(GZ29&lt;&gt;0,GY29/GZ29*100,0)</f>
        <v>6.3116740622217087</v>
      </c>
      <c r="HB29" s="363">
        <f>SUM(HB4:HB28)</f>
        <v>141157089.30477023</v>
      </c>
      <c r="HC29" s="776">
        <f>SUM(HC4:HC28)</f>
        <v>-3.1039362304372844</v>
      </c>
      <c r="HD29" s="836"/>
      <c r="HG29" s="836"/>
      <c r="HH29" s="836"/>
      <c r="HI29" s="836"/>
      <c r="HJ29" s="836"/>
      <c r="HK29" s="836"/>
      <c r="HL29" s="836"/>
      <c r="HM29" s="836"/>
      <c r="HP29" s="777">
        <f t="shared" si="113"/>
        <v>26</v>
      </c>
      <c r="HQ29" s="837" t="s">
        <v>72</v>
      </c>
      <c r="HR29" s="773"/>
      <c r="HS29" s="838">
        <f>SUM(HS4:HS28)</f>
        <v>2236444579</v>
      </c>
      <c r="HT29" s="839">
        <f>HA29</f>
        <v>6.3116740622217087</v>
      </c>
      <c r="HU29" s="840">
        <f>HU33</f>
        <v>0</v>
      </c>
      <c r="HV29" s="781" t="str">
        <f>IF(HU29&lt;&gt;0,HT29/HU29-1,"")</f>
        <v/>
      </c>
      <c r="HW29" s="840">
        <f>HT29-HU29</f>
        <v>6.3116740622217087</v>
      </c>
      <c r="HX29" s="841"/>
      <c r="HY29" s="15"/>
      <c r="HZ29" s="791"/>
      <c r="IA29" s="15"/>
      <c r="IL29" s="15"/>
      <c r="IM29" s="791"/>
      <c r="IN29" s="15"/>
      <c r="IO29" s="842">
        <f t="shared" si="114"/>
        <v>26</v>
      </c>
      <c r="IP29" s="837" t="s">
        <v>72</v>
      </c>
      <c r="IQ29" s="773"/>
      <c r="IR29" s="843">
        <f>SUM(IR4:IR28)</f>
        <v>141157092.40870649</v>
      </c>
      <c r="IS29" s="838">
        <f>SUM(IS4:IS28)</f>
        <v>2236444579</v>
      </c>
      <c r="IT29" s="844">
        <f>SUMPRODUCT(IS4:IS28,IT4:IT28)/SUM(IS4:IS28)</f>
        <v>6.311673923432835</v>
      </c>
      <c r="IU29" s="838">
        <f>SUM(IU4:IU28)</f>
        <v>316557815</v>
      </c>
      <c r="IV29" s="838">
        <f>SUM(IV4:IV28)</f>
        <v>1919886764</v>
      </c>
      <c r="IW29" s="843">
        <f>SUM(IW4:IW28)</f>
        <v>4748367.2249999987</v>
      </c>
      <c r="IX29" s="843">
        <f>SUM(IX4:IX28)</f>
        <v>136408725.18370646</v>
      </c>
      <c r="IY29" s="832">
        <f>IX29/IS29*100</f>
        <v>6.0993563830989288</v>
      </c>
      <c r="IZ29" s="832">
        <f>SUMPRODUCT(IU4:IU28,IZ4:IZ28)/SUM(IU4:IU28)</f>
        <v>7.5542023046180269</v>
      </c>
      <c r="JA29" s="843">
        <f>SUM(JA4:JA28)</f>
        <v>141157092.41062018</v>
      </c>
      <c r="JB29" s="845"/>
      <c r="JF29" s="777">
        <f t="shared" si="115"/>
        <v>26</v>
      </c>
      <c r="JG29" s="837" t="s">
        <v>72</v>
      </c>
      <c r="JH29" s="773"/>
      <c r="JI29" s="838">
        <f>SUM(JI4:JI28)</f>
        <v>2236444579</v>
      </c>
      <c r="JJ29" s="839">
        <f>IY29</f>
        <v>6.0993563830989288</v>
      </c>
      <c r="JK29" s="839">
        <f>SUMPRODUCT($JI4:$JI28,JK4:JK28)/SUM($JI4:$JI28)</f>
        <v>5.642436524953566</v>
      </c>
      <c r="JL29" s="781">
        <f>IF(JK29&lt;&gt;0,JJ29/JK29-1,"")</f>
        <v>8.0979175596330277E-2</v>
      </c>
      <c r="JM29" s="840">
        <f t="shared" si="102"/>
        <v>0.45691985814536284</v>
      </c>
      <c r="JN29" s="841"/>
      <c r="JO29" s="5"/>
    </row>
    <row r="30" spans="2:275" x14ac:dyDescent="0.3">
      <c r="F30" s="708"/>
      <c r="G30" s="812"/>
      <c r="H30" s="708"/>
      <c r="L30" s="279"/>
      <c r="N30" s="279"/>
      <c r="O30" s="279"/>
      <c r="R30" s="708"/>
      <c r="S30" s="812"/>
      <c r="T30" s="708"/>
      <c r="U30" s="693"/>
      <c r="V30" s="708"/>
      <c r="Z30" s="708"/>
      <c r="AA30" s="812"/>
      <c r="AB30" s="708"/>
      <c r="AG30" s="708"/>
      <c r="AH30" s="812"/>
      <c r="AI30" s="708"/>
      <c r="AJ30" s="708"/>
      <c r="AK30" s="708"/>
      <c r="AL30" s="708"/>
      <c r="AP30" s="846"/>
      <c r="AQ30" s="846"/>
      <c r="AR30" s="708"/>
      <c r="AS30" s="708"/>
      <c r="AT30" s="708"/>
      <c r="AU30" s="708"/>
      <c r="AV30" s="847"/>
      <c r="AW30" s="708"/>
      <c r="AX30" s="708"/>
      <c r="AY30" s="708"/>
      <c r="AZ30" s="708"/>
      <c r="BA30" s="708"/>
      <c r="BB30" s="812"/>
      <c r="BC30" s="708"/>
      <c r="BD30" s="708"/>
      <c r="BE30" s="708"/>
      <c r="BF30" s="708"/>
      <c r="BG30" s="708"/>
      <c r="BH30" s="708"/>
      <c r="BI30" s="812"/>
      <c r="BJ30" s="708"/>
      <c r="BT30" s="708"/>
      <c r="BU30" s="812"/>
      <c r="BV30" s="829"/>
      <c r="BW30" s="205"/>
      <c r="BX30" s="205"/>
      <c r="BY30" s="205"/>
      <c r="BZ30" s="205"/>
      <c r="CA30" s="205"/>
      <c r="CB30" s="205"/>
      <c r="CC30" s="205"/>
      <c r="CD30" s="205"/>
      <c r="CE30" s="708"/>
      <c r="CF30" s="812"/>
      <c r="CG30" s="708"/>
      <c r="CH30" s="5"/>
      <c r="CL30" s="16"/>
      <c r="CN30" s="16"/>
      <c r="CO30" s="16"/>
      <c r="CR30" s="708"/>
      <c r="CS30" s="812"/>
      <c r="CT30" s="708"/>
      <c r="DD30" s="829"/>
      <c r="DE30" s="812"/>
      <c r="DF30" s="708"/>
      <c r="DG30" s="708"/>
      <c r="DH30" s="708"/>
      <c r="DI30" s="708"/>
      <c r="DJ30" s="708"/>
      <c r="DK30" s="708"/>
      <c r="DL30" s="708"/>
      <c r="DM30" s="708"/>
      <c r="DN30" s="708"/>
      <c r="DO30" s="708"/>
      <c r="DP30" s="708"/>
      <c r="DQ30" s="708"/>
      <c r="DR30" s="708"/>
      <c r="DT30" s="812"/>
      <c r="DU30" s="708"/>
      <c r="DV30" s="693"/>
      <c r="DW30" s="708"/>
      <c r="DX30" s="708"/>
      <c r="DY30" s="708"/>
      <c r="DZ30" s="708"/>
      <c r="EA30" s="708"/>
      <c r="EC30" s="812"/>
      <c r="ED30" s="708"/>
      <c r="EJ30" s="708"/>
      <c r="EK30" s="812"/>
      <c r="EL30" s="708"/>
      <c r="EM30" s="708"/>
      <c r="EN30" s="708"/>
      <c r="EO30" s="708"/>
      <c r="EP30" s="708"/>
      <c r="EQ30" s="708"/>
      <c r="ER30" s="708"/>
      <c r="ES30" s="708"/>
      <c r="ET30" s="708"/>
      <c r="EU30" s="848"/>
      <c r="EV30" s="708"/>
      <c r="EW30" s="708"/>
      <c r="EX30" s="708"/>
      <c r="EY30" s="708"/>
      <c r="EZ30" s="812"/>
      <c r="FA30" s="708"/>
      <c r="FE30" s="708"/>
      <c r="FF30" s="812"/>
      <c r="FG30" s="708"/>
      <c r="FH30" s="708"/>
      <c r="FI30" s="708"/>
      <c r="FJ30" s="708"/>
      <c r="FK30" s="708"/>
      <c r="FL30" s="708"/>
      <c r="FM30" s="708"/>
      <c r="FN30" s="708"/>
      <c r="GF30" s="708"/>
      <c r="GG30" s="708"/>
      <c r="GH30" s="708"/>
      <c r="GI30" s="708"/>
      <c r="GJ30" s="708"/>
      <c r="GK30" s="708"/>
      <c r="GL30" s="708"/>
      <c r="GM30" s="708"/>
      <c r="GN30" s="708"/>
      <c r="GO30" s="708"/>
      <c r="GP30" s="708"/>
      <c r="GQ30" s="708"/>
      <c r="GR30" s="708"/>
      <c r="HD30" s="230"/>
      <c r="HG30" s="743"/>
      <c r="HH30" s="743"/>
      <c r="HI30" s="743"/>
      <c r="HJ30" s="743"/>
      <c r="HK30" s="743"/>
      <c r="HL30" s="230"/>
      <c r="HM30" s="230"/>
      <c r="HY30" s="708"/>
      <c r="HZ30" s="812"/>
      <c r="IA30" s="708"/>
      <c r="IO30" s="693"/>
      <c r="IP30" s="708"/>
    </row>
    <row r="31" spans="2:275" x14ac:dyDescent="0.3">
      <c r="G31" s="812"/>
      <c r="H31" s="708"/>
      <c r="S31" s="812"/>
      <c r="T31" s="708"/>
      <c r="U31" s="693"/>
      <c r="V31" s="708"/>
      <c r="Z31" s="708"/>
      <c r="AA31" s="812"/>
      <c r="AB31" s="708"/>
      <c r="AH31" s="812"/>
      <c r="AI31" s="708"/>
      <c r="AJ31" s="708"/>
      <c r="AK31" s="708"/>
      <c r="AL31" s="708"/>
      <c r="AO31" s="849"/>
      <c r="AP31" s="708"/>
      <c r="AQ31" s="850" t="s">
        <v>396</v>
      </c>
      <c r="AR31" s="850"/>
      <c r="AS31" s="850">
        <v>3</v>
      </c>
      <c r="AT31" s="850">
        <v>3</v>
      </c>
      <c r="AU31" s="850"/>
      <c r="AV31" s="850"/>
      <c r="AW31" s="850"/>
      <c r="AX31" s="850"/>
      <c r="AY31" s="850"/>
      <c r="AZ31" s="850">
        <v>4</v>
      </c>
      <c r="BB31" s="812"/>
      <c r="BC31" s="708"/>
      <c r="BD31" s="708"/>
      <c r="BE31" s="708"/>
      <c r="BF31" s="708"/>
      <c r="BG31" s="708"/>
      <c r="BI31" s="812"/>
      <c r="BJ31" s="708"/>
      <c r="BM31" s="545"/>
      <c r="BN31" s="545"/>
      <c r="BO31" s="545"/>
      <c r="BP31" s="545"/>
      <c r="BQ31" s="545"/>
      <c r="BR31" s="545"/>
      <c r="BS31" s="545"/>
      <c r="BU31" s="812"/>
      <c r="BV31" s="829"/>
      <c r="BW31" s="205"/>
      <c r="BX31" s="205"/>
      <c r="BY31" s="205"/>
      <c r="BZ31" s="205"/>
      <c r="CA31" s="205"/>
      <c r="CB31" s="205"/>
      <c r="CC31" s="205"/>
      <c r="CD31" s="205"/>
      <c r="CF31" s="812"/>
      <c r="CG31" s="708"/>
      <c r="CJ31" s="18"/>
      <c r="CL31" s="16"/>
      <c r="CN31" s="16"/>
      <c r="CO31" s="16"/>
      <c r="CR31" s="708"/>
      <c r="CS31" s="812"/>
      <c r="CT31" s="708"/>
      <c r="DD31" s="205"/>
      <c r="DE31" s="812"/>
      <c r="DF31" s="708"/>
      <c r="DG31" s="708"/>
      <c r="DH31" s="708"/>
      <c r="DI31" s="18" t="s">
        <v>398</v>
      </c>
      <c r="DJ31" s="851"/>
      <c r="DK31" s="851"/>
      <c r="DL31" s="851"/>
      <c r="DM31" s="851"/>
      <c r="DN31" s="851"/>
      <c r="DO31" s="851"/>
      <c r="DP31" s="851"/>
      <c r="DQ31" s="851"/>
      <c r="DR31" s="851"/>
      <c r="DT31" s="812"/>
      <c r="DU31" s="708"/>
      <c r="DV31" s="708"/>
      <c r="DW31" s="708"/>
      <c r="DX31" s="906" t="s">
        <v>398</v>
      </c>
      <c r="DY31" s="906"/>
      <c r="DZ31" s="906"/>
      <c r="EA31" s="906"/>
      <c r="EC31" s="812"/>
      <c r="ED31" s="708"/>
      <c r="EK31" s="812"/>
      <c r="EL31" s="708"/>
      <c r="EM31" s="708"/>
      <c r="EN31" s="708"/>
      <c r="EO31" s="708"/>
      <c r="EP31" s="18"/>
      <c r="EQ31" s="18"/>
      <c r="ER31" s="18"/>
      <c r="ES31" s="18"/>
      <c r="ET31" s="18"/>
      <c r="EU31" s="18"/>
      <c r="EV31" s="18"/>
      <c r="EW31" s="18"/>
      <c r="EX31" s="18"/>
      <c r="EZ31" s="812"/>
      <c r="FA31" s="708"/>
      <c r="FF31" s="812"/>
      <c r="FG31" s="708"/>
      <c r="FH31" s="850"/>
      <c r="FI31" s="862" t="s">
        <v>396</v>
      </c>
      <c r="FJ31" s="852"/>
      <c r="FK31" s="852"/>
      <c r="FL31" s="852"/>
      <c r="FM31" s="852">
        <v>4</v>
      </c>
      <c r="FN31" s="708"/>
      <c r="GB31"/>
      <c r="GF31" s="708"/>
      <c r="GG31" s="708"/>
      <c r="GH31" s="708"/>
      <c r="GI31" s="734"/>
      <c r="GJ31" s="734"/>
      <c r="GK31" s="734"/>
      <c r="GL31" s="734"/>
      <c r="GM31" s="734"/>
      <c r="GN31" s="734"/>
      <c r="GO31" s="734"/>
      <c r="GP31" s="708"/>
      <c r="GQ31" s="847"/>
      <c r="GR31" s="708"/>
      <c r="HD31" s="230"/>
      <c r="HG31" s="743"/>
      <c r="HH31" s="743"/>
      <c r="HI31" s="743"/>
      <c r="HJ31" s="743"/>
      <c r="HK31" s="743"/>
      <c r="HL31" s="230"/>
      <c r="HM31" s="230"/>
      <c r="HP31" s="853" t="s">
        <v>399</v>
      </c>
      <c r="HQ31" s="854"/>
      <c r="HR31" s="855"/>
      <c r="HS31" s="856">
        <v>3</v>
      </c>
      <c r="HT31" s="856"/>
      <c r="HU31" s="856">
        <v>11</v>
      </c>
      <c r="HV31" s="856"/>
      <c r="HW31" s="856"/>
      <c r="HX31" s="856">
        <v>6</v>
      </c>
      <c r="HY31" s="708"/>
      <c r="HZ31" s="812"/>
      <c r="IA31" s="708"/>
      <c r="IO31" s="708"/>
      <c r="IP31" s="708"/>
      <c r="JF31" s="853" t="s">
        <v>399</v>
      </c>
      <c r="JG31" s="854"/>
      <c r="JH31" s="855"/>
      <c r="JI31" s="856">
        <v>3</v>
      </c>
      <c r="JJ31" s="856"/>
      <c r="JK31" s="856">
        <v>5</v>
      </c>
      <c r="JL31" s="856"/>
      <c r="JM31" s="856"/>
      <c r="JN31" s="856">
        <v>6</v>
      </c>
    </row>
    <row r="32" spans="2:275" x14ac:dyDescent="0.3">
      <c r="G32" s="812"/>
      <c r="H32" s="708"/>
      <c r="S32" s="812"/>
      <c r="T32" s="708"/>
      <c r="AA32" s="812"/>
      <c r="AB32" s="708"/>
      <c r="AH32" s="812"/>
      <c r="AI32" s="708"/>
      <c r="AJ32" s="708"/>
      <c r="AK32" s="708"/>
      <c r="AL32" s="708"/>
      <c r="AQ32" s="853" t="s">
        <v>400</v>
      </c>
      <c r="AR32" s="853">
        <v>2</v>
      </c>
      <c r="AS32" s="853">
        <f t="shared" ref="AS32:AX32" si="120">+AR32+1</f>
        <v>3</v>
      </c>
      <c r="AT32" s="853">
        <f t="shared" si="120"/>
        <v>4</v>
      </c>
      <c r="AU32" s="853">
        <f t="shared" si="120"/>
        <v>5</v>
      </c>
      <c r="AV32" s="853">
        <f t="shared" si="120"/>
        <v>6</v>
      </c>
      <c r="AW32" s="853">
        <f t="shared" si="120"/>
        <v>7</v>
      </c>
      <c r="AX32" s="853">
        <f t="shared" si="120"/>
        <v>8</v>
      </c>
      <c r="AY32" s="853"/>
      <c r="AZ32" s="853">
        <f>+AX32+1</f>
        <v>9</v>
      </c>
      <c r="BB32" s="812"/>
      <c r="BC32" s="708"/>
      <c r="BD32" s="708"/>
      <c r="BE32" s="708"/>
      <c r="BF32" s="708"/>
      <c r="BG32" s="708"/>
      <c r="BI32" s="812"/>
      <c r="BJ32" s="708"/>
      <c r="BU32" s="812"/>
      <c r="BV32" s="829"/>
      <c r="BW32" s="205"/>
      <c r="BX32" s="205"/>
      <c r="BY32" s="205"/>
      <c r="BZ32" s="205"/>
      <c r="CA32" s="205"/>
      <c r="CB32" s="205"/>
      <c r="CC32" s="205"/>
      <c r="CD32" s="205"/>
      <c r="CF32" s="812"/>
      <c r="CG32" s="708"/>
      <c r="CS32" s="812"/>
      <c r="CT32" s="708"/>
      <c r="DD32" s="205"/>
      <c r="DE32" s="812"/>
      <c r="DF32" s="708"/>
      <c r="DT32" s="812"/>
      <c r="DU32" s="708"/>
      <c r="DX32" s="906"/>
      <c r="DY32" s="906"/>
      <c r="DZ32" s="906"/>
      <c r="EA32" s="906"/>
      <c r="EC32" s="812"/>
      <c r="ED32" s="708"/>
      <c r="EK32" s="812"/>
      <c r="EL32" s="708"/>
      <c r="EM32" s="708"/>
      <c r="EN32" s="708"/>
      <c r="EO32" s="708"/>
      <c r="EP32" s="708"/>
      <c r="EQ32" s="708"/>
      <c r="ER32" s="708"/>
      <c r="ES32" s="708"/>
      <c r="ET32" s="708"/>
      <c r="EU32" s="848"/>
      <c r="EV32" s="708"/>
      <c r="EW32" s="708"/>
      <c r="EX32" s="708"/>
      <c r="EZ32" s="812"/>
      <c r="FA32" s="708"/>
      <c r="FF32" s="812"/>
      <c r="FG32" s="708"/>
      <c r="FH32" s="850"/>
      <c r="FI32" s="852"/>
      <c r="FJ32" s="852"/>
      <c r="FK32" s="852"/>
      <c r="FL32" s="852">
        <f>Y36+1</f>
        <v>4</v>
      </c>
      <c r="FM32" s="852">
        <f>FL32+1</f>
        <v>5</v>
      </c>
      <c r="GF32" s="708"/>
      <c r="GG32" s="708"/>
      <c r="GH32" s="853" t="s">
        <v>396</v>
      </c>
      <c r="GI32" s="853">
        <v>10</v>
      </c>
      <c r="GJ32" s="853">
        <v>8</v>
      </c>
      <c r="GK32" s="853">
        <v>9</v>
      </c>
      <c r="GL32" s="853">
        <v>11</v>
      </c>
      <c r="GM32" s="853">
        <v>5</v>
      </c>
      <c r="GN32" s="853">
        <v>11</v>
      </c>
      <c r="GO32" s="853">
        <v>5</v>
      </c>
      <c r="GP32" s="853">
        <v>11</v>
      </c>
      <c r="GQ32" s="853">
        <v>3</v>
      </c>
      <c r="GZ32" s="857" t="s">
        <v>401</v>
      </c>
      <c r="HA32" s="858">
        <f>31.49*100</f>
        <v>3149</v>
      </c>
      <c r="HD32" s="772"/>
      <c r="HG32" s="772"/>
      <c r="HH32" s="772"/>
      <c r="HI32" s="772"/>
      <c r="HJ32" s="772"/>
      <c r="HK32" s="772"/>
      <c r="HL32" s="772"/>
      <c r="HM32" s="772"/>
      <c r="HZ32" s="812"/>
      <c r="IA32" s="708"/>
      <c r="IP32" s="708"/>
    </row>
    <row r="33" spans="7:250" x14ac:dyDescent="0.3">
      <c r="G33" s="812"/>
      <c r="H33" s="708"/>
      <c r="S33" s="812"/>
      <c r="T33" s="708"/>
      <c r="AA33" s="812"/>
      <c r="AB33" s="708"/>
      <c r="AH33" s="812"/>
      <c r="AI33" s="708"/>
      <c r="AJ33" s="708"/>
      <c r="AK33" s="708"/>
      <c r="AL33" s="708"/>
      <c r="BB33" s="812"/>
      <c r="BC33" s="708"/>
      <c r="BD33" s="708"/>
      <c r="BE33" s="708"/>
      <c r="BF33" s="708"/>
      <c r="BG33" s="708"/>
      <c r="BI33" s="812"/>
      <c r="BJ33" s="708"/>
      <c r="BU33" s="812"/>
      <c r="BV33" s="829"/>
      <c r="BW33" s="205"/>
      <c r="BX33" s="205"/>
      <c r="BY33" s="205"/>
      <c r="BZ33" s="205"/>
      <c r="CA33" s="205"/>
      <c r="CB33" s="205"/>
      <c r="CC33" s="205"/>
      <c r="CD33" s="205"/>
      <c r="CF33" s="812"/>
      <c r="CG33" s="708"/>
      <c r="CH33" s="853"/>
      <c r="CI33" s="861" t="s">
        <v>396</v>
      </c>
      <c r="CJ33" s="853"/>
      <c r="CK33" s="853">
        <v>4</v>
      </c>
      <c r="CL33" s="853"/>
      <c r="CM33" s="853">
        <v>7</v>
      </c>
      <c r="CN33" s="853"/>
      <c r="CO33" s="853"/>
      <c r="CP33" s="853"/>
      <c r="CQ33" s="853">
        <v>4</v>
      </c>
      <c r="CS33" s="812"/>
      <c r="CT33" s="708"/>
      <c r="DD33" s="205"/>
      <c r="DE33" s="812"/>
      <c r="DF33" s="708"/>
      <c r="DT33" s="812"/>
      <c r="DU33" s="708"/>
      <c r="EC33" s="812"/>
      <c r="ED33" s="708"/>
      <c r="EK33" s="812"/>
      <c r="EL33" s="708"/>
      <c r="EM33" s="708"/>
      <c r="EN33" s="708"/>
      <c r="EO33" s="708"/>
      <c r="EP33" s="708"/>
      <c r="EQ33" s="708"/>
      <c r="ER33" s="708"/>
      <c r="ES33" s="708"/>
      <c r="ET33" s="708"/>
      <c r="EU33" s="848"/>
      <c r="EV33" s="708"/>
      <c r="EW33" s="708"/>
      <c r="EX33" s="708"/>
      <c r="EZ33" s="812"/>
      <c r="FA33" s="708"/>
      <c r="FF33" s="812"/>
      <c r="FG33" s="708"/>
      <c r="GH33" s="853" t="s">
        <v>400</v>
      </c>
      <c r="GI33" s="853">
        <v>3</v>
      </c>
      <c r="GJ33" s="853">
        <f t="shared" ref="GJ33:GQ33" si="121">+GI33+1</f>
        <v>4</v>
      </c>
      <c r="GK33" s="853">
        <f t="shared" si="121"/>
        <v>5</v>
      </c>
      <c r="GL33" s="853">
        <f t="shared" si="121"/>
        <v>6</v>
      </c>
      <c r="GM33" s="853">
        <f t="shared" si="121"/>
        <v>7</v>
      </c>
      <c r="GN33" s="853">
        <f t="shared" si="121"/>
        <v>8</v>
      </c>
      <c r="GO33" s="853">
        <f t="shared" si="121"/>
        <v>9</v>
      </c>
      <c r="GP33" s="853">
        <f t="shared" si="121"/>
        <v>10</v>
      </c>
      <c r="GQ33" s="853">
        <f t="shared" si="121"/>
        <v>11</v>
      </c>
      <c r="GZ33" s="857" t="s">
        <v>402</v>
      </c>
      <c r="HA33" s="12">
        <v>22.96</v>
      </c>
      <c r="HZ33" s="812"/>
      <c r="IA33" s="708"/>
      <c r="IP33" s="708"/>
    </row>
    <row r="34" spans="7:250" x14ac:dyDescent="0.3">
      <c r="G34" s="812"/>
      <c r="H34" s="708"/>
      <c r="S34" s="812"/>
      <c r="T34" s="708"/>
      <c r="AA34" s="812"/>
      <c r="AB34" s="708"/>
      <c r="AH34" s="812"/>
      <c r="AI34" s="708"/>
      <c r="AJ34" s="708"/>
      <c r="AK34" s="708"/>
      <c r="AL34" s="708"/>
      <c r="BB34" s="812"/>
      <c r="BC34" s="708"/>
      <c r="BD34" s="708"/>
      <c r="BE34" s="708"/>
      <c r="BF34" s="708"/>
      <c r="BG34" s="708"/>
      <c r="BI34" s="812"/>
      <c r="BJ34" s="708"/>
      <c r="BM34" s="850" t="s">
        <v>396</v>
      </c>
      <c r="BN34" s="850">
        <v>9</v>
      </c>
      <c r="BO34" s="850"/>
      <c r="BP34" s="850">
        <v>4</v>
      </c>
      <c r="BQ34" s="850"/>
      <c r="BR34" s="850"/>
      <c r="BS34" s="850">
        <v>4</v>
      </c>
      <c r="BU34" s="812"/>
      <c r="BV34" s="829"/>
      <c r="BW34" s="205"/>
      <c r="BX34" s="205"/>
      <c r="BY34" s="205"/>
      <c r="BZ34" s="205"/>
      <c r="CA34" s="205"/>
      <c r="CB34" s="205"/>
      <c r="CC34" s="205"/>
      <c r="CD34" s="205"/>
      <c r="CF34" s="812"/>
      <c r="CG34" s="708"/>
      <c r="CS34" s="812"/>
      <c r="CT34" s="708"/>
      <c r="DD34" s="205"/>
      <c r="DE34" s="812"/>
      <c r="DF34" s="708"/>
      <c r="DI34" s="853" t="s">
        <v>396</v>
      </c>
      <c r="DJ34" s="853">
        <v>8</v>
      </c>
      <c r="DK34" s="853"/>
      <c r="DL34" s="853">
        <v>7</v>
      </c>
      <c r="DM34" s="853"/>
      <c r="DN34" s="853">
        <v>4</v>
      </c>
      <c r="DO34" s="853"/>
      <c r="DP34" s="853"/>
      <c r="DQ34" s="853"/>
      <c r="DR34" s="853">
        <v>4</v>
      </c>
      <c r="DT34" s="812"/>
      <c r="DU34" s="708"/>
      <c r="DX34" s="853" t="s">
        <v>396</v>
      </c>
      <c r="DY34" s="853">
        <v>7</v>
      </c>
      <c r="DZ34" s="853"/>
      <c r="EA34" s="853">
        <v>4</v>
      </c>
      <c r="EC34" s="812"/>
      <c r="ED34" s="708"/>
      <c r="EK34" s="812"/>
      <c r="EL34" s="708"/>
      <c r="EM34" s="850"/>
      <c r="EN34" s="850"/>
      <c r="EO34" s="850" t="s">
        <v>396</v>
      </c>
      <c r="EP34" s="852">
        <v>4</v>
      </c>
      <c r="EQ34" s="852"/>
      <c r="ER34" s="852">
        <v>8</v>
      </c>
      <c r="ES34" s="852"/>
      <c r="ET34" s="852">
        <v>4</v>
      </c>
      <c r="EU34" s="859"/>
      <c r="EV34" s="852"/>
      <c r="EW34" s="852"/>
      <c r="EX34" s="852">
        <v>4</v>
      </c>
      <c r="EZ34" s="812"/>
      <c r="FA34" s="708"/>
      <c r="FF34" s="812"/>
      <c r="FG34" s="708"/>
      <c r="FS34" s="853" t="s">
        <v>396</v>
      </c>
      <c r="FT34" s="853">
        <v>8</v>
      </c>
      <c r="FU34" s="853">
        <v>7</v>
      </c>
      <c r="FV34" s="853">
        <v>7</v>
      </c>
      <c r="FW34" s="853">
        <v>9</v>
      </c>
      <c r="FX34" s="853">
        <v>4</v>
      </c>
      <c r="FY34" s="853"/>
      <c r="FZ34" s="853">
        <v>4</v>
      </c>
      <c r="GA34" s="853"/>
      <c r="GB34" s="853">
        <v>4</v>
      </c>
      <c r="HZ34" s="812"/>
      <c r="IA34" s="708"/>
      <c r="IP34" s="708"/>
    </row>
    <row r="35" spans="7:250" x14ac:dyDescent="0.3">
      <c r="G35" s="812"/>
      <c r="H35" s="708"/>
      <c r="K35" s="853" t="s">
        <v>396</v>
      </c>
      <c r="L35" s="856">
        <v>3</v>
      </c>
      <c r="M35" s="856"/>
      <c r="N35" s="856"/>
      <c r="O35" s="856"/>
      <c r="P35" s="856"/>
      <c r="Q35" s="856">
        <v>4</v>
      </c>
      <c r="S35" s="812"/>
      <c r="T35" s="708"/>
      <c r="W35" s="850" t="s">
        <v>396</v>
      </c>
      <c r="X35" s="852"/>
      <c r="Y35" s="852"/>
      <c r="AA35" s="812"/>
      <c r="AB35" s="708"/>
      <c r="AH35" s="812"/>
      <c r="AI35" s="708"/>
      <c r="AJ35" s="708"/>
      <c r="AK35" s="708"/>
      <c r="AL35" s="708"/>
      <c r="BB35" s="812"/>
      <c r="BC35" s="708"/>
      <c r="BI35" s="812"/>
      <c r="BJ35" s="708"/>
      <c r="BM35" s="853" t="s">
        <v>400</v>
      </c>
      <c r="BN35" s="853"/>
      <c r="BO35" s="853"/>
      <c r="BP35" s="853"/>
      <c r="BQ35" s="853"/>
      <c r="BR35" s="850"/>
      <c r="BS35" s="850"/>
      <c r="BU35" s="812"/>
      <c r="BV35" s="829"/>
      <c r="BW35" s="205"/>
      <c r="BX35" s="205"/>
      <c r="BY35" s="205"/>
      <c r="BZ35" s="205"/>
      <c r="CA35" s="205"/>
      <c r="CB35" s="205"/>
      <c r="CC35" s="205"/>
      <c r="CD35" s="205"/>
      <c r="CF35" s="812"/>
      <c r="CG35" s="708"/>
      <c r="CS35" s="812"/>
      <c r="CT35" s="708"/>
      <c r="DD35" s="205"/>
      <c r="DE35" s="812"/>
      <c r="DT35" s="812"/>
      <c r="EC35" s="812"/>
      <c r="ED35" s="708"/>
      <c r="EK35" s="812"/>
      <c r="EL35" s="708"/>
      <c r="EZ35" s="812"/>
      <c r="FA35" s="708"/>
      <c r="FF35" s="812"/>
      <c r="FS35" s="853" t="s">
        <v>400</v>
      </c>
      <c r="FT35" s="853">
        <v>1</v>
      </c>
      <c r="FU35" s="853">
        <f t="shared" ref="FU35:GB35" si="122">+FT35+1</f>
        <v>2</v>
      </c>
      <c r="FV35" s="853">
        <f t="shared" si="122"/>
        <v>3</v>
      </c>
      <c r="FW35" s="853">
        <f t="shared" si="122"/>
        <v>4</v>
      </c>
      <c r="FX35" s="853">
        <f t="shared" si="122"/>
        <v>5</v>
      </c>
      <c r="FY35" s="853">
        <v>9</v>
      </c>
      <c r="FZ35" s="853">
        <f t="shared" si="122"/>
        <v>10</v>
      </c>
      <c r="GA35" s="853">
        <f t="shared" si="122"/>
        <v>11</v>
      </c>
      <c r="GB35" s="853">
        <f t="shared" si="122"/>
        <v>12</v>
      </c>
      <c r="GW35" s="854" t="s">
        <v>399</v>
      </c>
      <c r="GX35" s="856">
        <v>4</v>
      </c>
      <c r="GY35" s="856">
        <v>10</v>
      </c>
      <c r="GZ35" s="856">
        <v>11</v>
      </c>
      <c r="HA35" s="856"/>
      <c r="HB35" s="856"/>
      <c r="HC35" s="856"/>
      <c r="HD35" s="248"/>
      <c r="HG35" s="248"/>
      <c r="HH35" s="248"/>
      <c r="HI35" s="248"/>
      <c r="HJ35" s="248"/>
      <c r="HK35" s="248"/>
      <c r="HL35" s="248"/>
      <c r="HM35" s="248"/>
      <c r="HZ35" s="812"/>
      <c r="IA35" s="708"/>
      <c r="IP35" s="708"/>
    </row>
    <row r="36" spans="7:250" x14ac:dyDescent="0.3">
      <c r="L36" s="248"/>
      <c r="M36" s="248"/>
      <c r="N36" s="248"/>
      <c r="O36" s="248"/>
      <c r="P36" s="248"/>
      <c r="Q36" s="248"/>
      <c r="W36" s="850" t="s">
        <v>397</v>
      </c>
      <c r="X36" s="852">
        <v>2</v>
      </c>
      <c r="Y36" s="852">
        <f>X36+1</f>
        <v>3</v>
      </c>
      <c r="AA36" s="812"/>
      <c r="AB36" s="708"/>
      <c r="AM36" s="849"/>
      <c r="AN36" s="860"/>
      <c r="BV36" s="205"/>
      <c r="BW36" s="205"/>
      <c r="BX36" s="205"/>
      <c r="BY36" s="205"/>
      <c r="BZ36" s="205"/>
      <c r="CA36" s="205"/>
      <c r="CB36" s="205"/>
      <c r="CC36" s="205"/>
      <c r="CD36" s="205"/>
      <c r="CG36" s="708"/>
      <c r="DD36" s="205"/>
      <c r="GW36" s="853" t="s">
        <v>397</v>
      </c>
      <c r="GX36" s="856">
        <v>2</v>
      </c>
      <c r="GY36" s="856">
        <f>GX36+1</f>
        <v>3</v>
      </c>
      <c r="GZ36" s="856">
        <f>GY36+1</f>
        <v>4</v>
      </c>
      <c r="HA36" s="856">
        <f>GZ36+1</f>
        <v>5</v>
      </c>
      <c r="HB36" s="856">
        <f>HA36+1</f>
        <v>6</v>
      </c>
      <c r="HC36" s="856">
        <f>HB36+1</f>
        <v>7</v>
      </c>
      <c r="HD36" s="248"/>
      <c r="HG36" s="248"/>
      <c r="HH36" s="248"/>
      <c r="HI36" s="248"/>
      <c r="HJ36" s="248"/>
      <c r="HK36" s="248"/>
      <c r="HL36" s="248"/>
      <c r="HM36" s="248"/>
      <c r="HU36" s="279"/>
      <c r="HZ36" s="812"/>
      <c r="IA36" s="708"/>
      <c r="IP36" s="708"/>
    </row>
    <row r="37" spans="7:250" x14ac:dyDescent="0.3">
      <c r="L37" s="248"/>
      <c r="M37" s="248"/>
      <c r="N37" s="248"/>
      <c r="O37" s="248"/>
      <c r="P37" s="248"/>
      <c r="Q37" s="248"/>
      <c r="BV37" s="205"/>
      <c r="BW37" s="205"/>
      <c r="BX37" s="205"/>
      <c r="BY37" s="205"/>
      <c r="BZ37" s="205"/>
      <c r="CA37" s="205"/>
      <c r="CB37" s="205"/>
      <c r="CC37" s="205"/>
      <c r="CD37" s="205"/>
      <c r="DD37" s="205"/>
    </row>
    <row r="38" spans="7:250" x14ac:dyDescent="0.3">
      <c r="BV38" s="205"/>
      <c r="BW38" s="205"/>
      <c r="BX38" s="205"/>
      <c r="BY38" s="205"/>
      <c r="BZ38" s="205"/>
      <c r="CA38" s="205"/>
      <c r="CB38" s="205"/>
      <c r="CC38" s="205"/>
      <c r="CD38" s="205"/>
      <c r="DD38" s="205"/>
    </row>
    <row r="39" spans="7:250" x14ac:dyDescent="0.3">
      <c r="BV39" s="205"/>
      <c r="BW39" s="205"/>
      <c r="BX39" s="205"/>
      <c r="BY39" s="205"/>
      <c r="BZ39" s="205"/>
      <c r="CA39" s="205"/>
      <c r="CB39" s="205"/>
      <c r="CC39" s="205"/>
      <c r="CD39" s="205"/>
      <c r="DD39" s="205"/>
    </row>
    <row r="40" spans="7:250" x14ac:dyDescent="0.3">
      <c r="BV40" s="205"/>
      <c r="BW40" s="205"/>
      <c r="BX40" s="205"/>
      <c r="BY40" s="205"/>
      <c r="BZ40" s="205"/>
      <c r="CA40" s="205"/>
      <c r="CB40" s="205"/>
      <c r="CC40" s="205"/>
      <c r="CD40" s="205"/>
      <c r="DD40" s="205"/>
    </row>
    <row r="41" spans="7:250" x14ac:dyDescent="0.3">
      <c r="BV41" s="205"/>
      <c r="BW41" s="205"/>
      <c r="BX41" s="205"/>
      <c r="BY41" s="205"/>
      <c r="BZ41" s="205"/>
      <c r="CA41" s="205"/>
      <c r="CB41" s="205"/>
      <c r="CC41" s="205"/>
      <c r="CD41" s="205"/>
      <c r="DD41" s="205"/>
    </row>
    <row r="42" spans="7:250" x14ac:dyDescent="0.3">
      <c r="BV42" s="205"/>
      <c r="BW42" s="205"/>
      <c r="BX42" s="205"/>
      <c r="BY42" s="205"/>
      <c r="BZ42" s="205"/>
      <c r="CA42" s="205"/>
      <c r="CB42" s="205"/>
      <c r="CC42" s="205"/>
      <c r="CD42" s="205"/>
      <c r="DD42" s="205"/>
    </row>
    <row r="43" spans="7:250" x14ac:dyDescent="0.3">
      <c r="BV43" s="205"/>
      <c r="BW43" s="205"/>
      <c r="BX43" s="205"/>
      <c r="BY43" s="205"/>
      <c r="BZ43" s="205"/>
      <c r="CA43" s="205"/>
      <c r="CB43" s="205"/>
      <c r="CC43" s="205"/>
      <c r="CD43" s="205"/>
      <c r="DD43" s="205"/>
    </row>
    <row r="44" spans="7:250" x14ac:dyDescent="0.3">
      <c r="BV44" s="205"/>
      <c r="BW44" s="205"/>
      <c r="BX44" s="205"/>
      <c r="BY44" s="205"/>
      <c r="BZ44" s="205"/>
      <c r="CA44" s="205"/>
      <c r="CB44" s="205"/>
      <c r="CC44" s="205"/>
      <c r="CD44" s="205"/>
      <c r="DD44" s="205"/>
    </row>
    <row r="45" spans="7:250" x14ac:dyDescent="0.3">
      <c r="BV45" s="205"/>
      <c r="BW45" s="205"/>
      <c r="BX45" s="205"/>
      <c r="BY45" s="205"/>
      <c r="BZ45" s="205"/>
      <c r="CA45" s="205"/>
      <c r="CB45" s="205"/>
      <c r="CC45" s="205"/>
      <c r="CD45" s="205"/>
      <c r="DD45" s="205"/>
    </row>
    <row r="46" spans="7:250" x14ac:dyDescent="0.3">
      <c r="BV46" s="205"/>
      <c r="BW46" s="205"/>
      <c r="BX46" s="205"/>
      <c r="BY46" s="205"/>
      <c r="BZ46" s="205"/>
      <c r="CA46" s="205"/>
      <c r="CB46" s="205"/>
      <c r="CC46" s="205"/>
      <c r="CD46" s="205"/>
      <c r="DD46" s="205"/>
    </row>
    <row r="47" spans="7:250" x14ac:dyDescent="0.3">
      <c r="BV47" s="205"/>
      <c r="BW47" s="205"/>
      <c r="BX47" s="205"/>
      <c r="BY47" s="205"/>
      <c r="BZ47" s="205"/>
      <c r="CA47" s="205"/>
      <c r="CB47" s="205"/>
      <c r="CC47" s="205"/>
      <c r="CD47" s="205"/>
      <c r="DD47" s="205"/>
    </row>
    <row r="48" spans="7:250" x14ac:dyDescent="0.3">
      <c r="BV48" s="205"/>
      <c r="BW48" s="205"/>
      <c r="BX48" s="205"/>
      <c r="BY48" s="205"/>
      <c r="BZ48" s="205"/>
      <c r="CA48" s="205"/>
      <c r="CB48" s="205"/>
      <c r="CC48" s="205"/>
      <c r="CD48" s="205"/>
      <c r="DD48" s="205"/>
    </row>
    <row r="49" spans="74:108" x14ac:dyDescent="0.3">
      <c r="BV49" s="205"/>
      <c r="BW49" s="205"/>
      <c r="BX49" s="205"/>
      <c r="BY49" s="205"/>
      <c r="BZ49" s="205"/>
      <c r="CA49" s="205"/>
      <c r="CB49" s="205"/>
      <c r="CC49" s="205"/>
      <c r="CD49" s="205"/>
      <c r="DD49" s="205"/>
    </row>
    <row r="50" spans="74:108" x14ac:dyDescent="0.3">
      <c r="BV50" s="205"/>
      <c r="BW50" s="205"/>
      <c r="BX50" s="205"/>
      <c r="BY50" s="205"/>
      <c r="BZ50" s="205"/>
      <c r="CA50" s="205"/>
      <c r="CB50" s="205"/>
      <c r="CC50" s="205"/>
      <c r="CD50" s="205"/>
      <c r="DD50" s="205"/>
    </row>
  </sheetData>
  <mergeCells count="26">
    <mergeCell ref="DG1:DR1"/>
    <mergeCell ref="A1:E1"/>
    <mergeCell ref="I1:Q1"/>
    <mergeCell ref="U1:Y1"/>
    <mergeCell ref="AC1:AF1"/>
    <mergeCell ref="AJ1:AL1"/>
    <mergeCell ref="AP1:AZ1"/>
    <mergeCell ref="BD1:BG1"/>
    <mergeCell ref="BK1:BS1"/>
    <mergeCell ref="BW1:CD1"/>
    <mergeCell ref="CH1:CQ1"/>
    <mergeCell ref="CU1:DC1"/>
    <mergeCell ref="JF1:JN1"/>
    <mergeCell ref="DX31:EA32"/>
    <mergeCell ref="GF1:GQ1"/>
    <mergeCell ref="GU1:HC1"/>
    <mergeCell ref="HG1:HL1"/>
    <mergeCell ref="HP1:HX1"/>
    <mergeCell ref="IB1:IK1"/>
    <mergeCell ref="IO1:JB1"/>
    <mergeCell ref="DV1:EA1"/>
    <mergeCell ref="EE1:EI1"/>
    <mergeCell ref="EM1:EX1"/>
    <mergeCell ref="FB1:FD1"/>
    <mergeCell ref="FH1:FM1"/>
    <mergeCell ref="FQ1:GB1"/>
  </mergeCells>
  <conditionalFormatting sqref="A4:E13">
    <cfRule type="expression" dxfId="6" priority="7">
      <formula>MOD(ROW(),2)=0</formula>
    </cfRule>
  </conditionalFormatting>
  <conditionalFormatting sqref="I4:Q29">
    <cfRule type="expression" dxfId="5" priority="6">
      <formula>MOD(ROW(),2)=0</formula>
    </cfRule>
  </conditionalFormatting>
  <conditionalFormatting sqref="BD3:BG6 AJ3:AL7 AC3:AF28 U3:Y29 AP3:AZ29 BK3:BS29">
    <cfRule type="expression" dxfId="4" priority="2">
      <formula>MOD(ROW(),2)=0</formula>
    </cfRule>
  </conditionalFormatting>
  <conditionalFormatting sqref="CU3:DC7 BW3:CD9 CH3:CQ29">
    <cfRule type="expression" dxfId="3" priority="3">
      <formula>MOD(ROW(),2)=0</formula>
    </cfRule>
  </conditionalFormatting>
  <conditionalFormatting sqref="FB3:FD6 EE3:EI7 DG3:DR29 DV3:EA29 EM3:EX29 FH3:FM29 FQ3:GB29">
    <cfRule type="expression" dxfId="2" priority="4">
      <formula>MOD(ROW(),2)=0</formula>
    </cfRule>
  </conditionalFormatting>
  <conditionalFormatting sqref="IB3:IK4 HG3:HL6 GF3:GQ29 GU3:HC29 HP3:HX29 IO3:JB29">
    <cfRule type="expression" dxfId="1" priority="5">
      <formula>MOD(ROW(),2)=0</formula>
    </cfRule>
  </conditionalFormatting>
  <conditionalFormatting sqref="JF3:JN29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FDC49B8F3647B26A81FC0A61BD72" ma:contentTypeVersion="19" ma:contentTypeDescription="Create a new document." ma:contentTypeScope="" ma:versionID="8c6c31721c90d68a302cb3d06875e2d7">
  <xsd:schema xmlns:xsd="http://www.w3.org/2001/XMLSchema" xmlns:xs="http://www.w3.org/2001/XMLSchema" xmlns:p="http://schemas.microsoft.com/office/2006/metadata/properties" xmlns:ns2="b0eccaff-ed0e-4369-a755-3c501f3fbb44" xmlns:ns3="033f3c31-a06a-42e1-839c-42d3c12e0580" targetNamespace="http://schemas.microsoft.com/office/2006/metadata/properties" ma:root="true" ma:fieldsID="a1d8021bc43f347c6a57d6507811accf" ns2:_="" ns3:_="">
    <xsd:import namespace="b0eccaff-ed0e-4369-a755-3c501f3fbb44"/>
    <xsd:import namespace="033f3c31-a06a-42e1-839c-42d3c12e0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ccaff-ed0e-4369-a755-3c501f3fb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4ffb9e5-4468-485e-ab5f-4ae9542a0c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f3c31-a06a-42e1-839c-42d3c12e05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dafcd4f-ddb2-4033-b6d6-da91113543b1}" ma:internalName="TaxCatchAll" ma:showField="CatchAllData" ma:web="033f3c31-a06a-42e1-839c-42d3c12e0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f3c31-a06a-42e1-839c-42d3c12e0580" xsi:nil="true"/>
    <lcf76f155ced4ddcb4097134ff3c332f xmlns="b0eccaff-ed0e-4369-a755-3c501f3fbb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81E1AC-5135-4F97-A2F9-9D0394491094}"/>
</file>

<file path=customXml/itemProps2.xml><?xml version="1.0" encoding="utf-8"?>
<ds:datastoreItem xmlns:ds="http://schemas.openxmlformats.org/officeDocument/2006/customXml" ds:itemID="{379F4F5D-7FA6-45CB-A340-6BC372A7729F}"/>
</file>

<file path=customXml/itemProps3.xml><?xml version="1.0" encoding="utf-8"?>
<ds:datastoreItem xmlns:ds="http://schemas.openxmlformats.org/officeDocument/2006/customXml" ds:itemID="{C8B4EED0-EE4C-4F35-AE96-E9129B6D40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Phase I Schedules</vt:lpstr>
      <vt:lpstr>Phase II Schedules</vt:lpstr>
      <vt:lpstr>hrspercont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Hartman</dc:creator>
  <cp:lastModifiedBy>Chris Hartman</cp:lastModifiedBy>
  <dcterms:created xsi:type="dcterms:W3CDTF">2026-03-10T17:28:10Z</dcterms:created>
  <dcterms:modified xsi:type="dcterms:W3CDTF">2026-03-13T18:11:42Z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0x01010081CBFDC49B8F3647B26A81FC0A61BD72</vt:lpwstr>
  </property>
</Properties>
</file>